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A1BED0B7-77FC-47B2-899A-8766C8049C5A}" xr6:coauthVersionLast="47" xr6:coauthVersionMax="47" xr10:uidLastSave="{00000000-0000-0000-0000-000000000000}"/>
  <bookViews>
    <workbookView xWindow="-120" yWindow="-120" windowWidth="29040" windowHeight="18720" tabRatio="500" xr2:uid="{00000000-000D-0000-FFFF-FFFF00000000}"/>
  </bookViews>
  <sheets>
    <sheet name="Cover" sheetId="1" r:id="rId1"/>
    <sheet name="Dashboard" sheetId="2" r:id="rId2"/>
    <sheet name="Assumptions" sheetId="3" r:id="rId3"/>
    <sheet name="Historical Financials" sheetId="4" r:id="rId4"/>
    <sheet name="Quarterly Financials" sheetId="5" r:id="rId5"/>
    <sheet name="NAND Market" sheetId="6" r:id="rId6"/>
    <sheet name="Revenue Build" sheetId="7" r:id="rId7"/>
    <sheet name="Operating Model" sheetId="8" r:id="rId8"/>
    <sheet name="Cash Flow Model" sheetId="9" r:id="rId9"/>
    <sheet name="Scenario Analysis" sheetId="10" r:id="rId10"/>
    <sheet name="DCF Valuation" sheetId="11" r:id="rId11"/>
    <sheet name="DCF Sensitivities" sheetId="12" r:id="rId12"/>
    <sheet name="Comparable Companies" sheetId="13" r:id="rId13"/>
    <sheet name="Multiples Valuation" sheetId="14" r:id="rId14"/>
    <sheet name="Valuation Summary" sheetId="15" r:id="rId15"/>
    <sheet name="Probability Distribution" sheetId="16" r:id="rId16"/>
    <sheet name="Investment Case" sheetId="17" r:id="rId17"/>
    <sheet name="Sources" sheetId="18" r:id="rId18"/>
    <sheet name="Checks" sheetId="19" r:id="rId19"/>
  </sheets>
  <definedNames>
    <definedName name="Basic_Shares">Assumptions!$B$12</definedName>
    <definedName name="Diluted_Shares">Assumptions!$B$15</definedName>
    <definedName name="Exit_Mult_Active">Assumptions!$F$87</definedName>
    <definedName name="Net_Debt">Assumptions!$B$22</definedName>
    <definedName name="Scenario_Selected">Assumptions!$B$6</definedName>
    <definedName name="Share_Price">Assumptions!$B$11</definedName>
    <definedName name="Terminal_Growth_Base">Assumptions!$D$86</definedName>
    <definedName name="TG_Active">Assumptions!$F$86</definedName>
    <definedName name="Total_Adj">Assumptions!$B$26</definedName>
    <definedName name="USDJPY_Base">Assumptions!$B$24</definedName>
    <definedName name="WACC_Active">Assumptions!$F$85</definedName>
    <definedName name="WACC_Base">Assumptions!$D$85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9" l="1"/>
  <c r="B11" i="19"/>
  <c r="B10" i="19"/>
  <c r="B9" i="19"/>
  <c r="B8" i="19"/>
  <c r="B7" i="19"/>
  <c r="B6" i="19"/>
  <c r="C19" i="16"/>
  <c r="C18" i="16"/>
  <c r="C17" i="16"/>
  <c r="C16" i="16"/>
  <c r="C14" i="16"/>
  <c r="C13" i="16"/>
  <c r="D11" i="16"/>
  <c r="D10" i="16"/>
  <c r="D9" i="16"/>
  <c r="D8" i="16"/>
  <c r="D7" i="16"/>
  <c r="C26" i="15"/>
  <c r="E15" i="15"/>
  <c r="C26" i="13"/>
  <c r="L11" i="13"/>
  <c r="H11" i="13"/>
  <c r="F11" i="13"/>
  <c r="L10" i="13"/>
  <c r="H10" i="13"/>
  <c r="F10" i="13"/>
  <c r="H9" i="13"/>
  <c r="F9" i="13"/>
  <c r="L8" i="13"/>
  <c r="H8" i="13"/>
  <c r="F8" i="13"/>
  <c r="L7" i="13"/>
  <c r="H7" i="13"/>
  <c r="F7" i="13"/>
  <c r="C35" i="11"/>
  <c r="C34" i="11"/>
  <c r="C33" i="11"/>
  <c r="B55" i="10"/>
  <c r="B54" i="10"/>
  <c r="B53" i="10"/>
  <c r="I41" i="10"/>
  <c r="H41" i="10"/>
  <c r="G41" i="10"/>
  <c r="F41" i="10"/>
  <c r="E41" i="10"/>
  <c r="D41" i="10"/>
  <c r="C41" i="10"/>
  <c r="I40" i="10"/>
  <c r="H40" i="10"/>
  <c r="G40" i="10"/>
  <c r="F40" i="10"/>
  <c r="E40" i="10"/>
  <c r="D40" i="10"/>
  <c r="C40" i="10"/>
  <c r="I26" i="10"/>
  <c r="H26" i="10"/>
  <c r="G26" i="10"/>
  <c r="F26" i="10"/>
  <c r="E26" i="10"/>
  <c r="D26" i="10"/>
  <c r="C26" i="10"/>
  <c r="I25" i="10"/>
  <c r="H25" i="10"/>
  <c r="G25" i="10"/>
  <c r="F25" i="10"/>
  <c r="E25" i="10"/>
  <c r="D25" i="10"/>
  <c r="C25" i="10"/>
  <c r="I11" i="10"/>
  <c r="H11" i="10"/>
  <c r="G11" i="10"/>
  <c r="F11" i="10"/>
  <c r="E11" i="10"/>
  <c r="D11" i="10"/>
  <c r="C11" i="10"/>
  <c r="I10" i="10"/>
  <c r="H10" i="10"/>
  <c r="G10" i="10"/>
  <c r="F10" i="10"/>
  <c r="E10" i="10"/>
  <c r="D10" i="10"/>
  <c r="C10" i="10"/>
  <c r="D32" i="9"/>
  <c r="C32" i="9"/>
  <c r="E30" i="9"/>
  <c r="E21" i="9"/>
  <c r="D16" i="9"/>
  <c r="D14" i="9"/>
  <c r="C14" i="9"/>
  <c r="E27" i="8"/>
  <c r="D27" i="8"/>
  <c r="C27" i="8"/>
  <c r="E26" i="8"/>
  <c r="D26" i="8"/>
  <c r="C26" i="8"/>
  <c r="E25" i="8"/>
  <c r="D25" i="8"/>
  <c r="C25" i="8"/>
  <c r="E24" i="8"/>
  <c r="D24" i="8"/>
  <c r="C24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5" i="8"/>
  <c r="D15" i="8"/>
  <c r="C15" i="8"/>
  <c r="E13" i="8"/>
  <c r="D13" i="8"/>
  <c r="C13" i="8"/>
  <c r="E12" i="8"/>
  <c r="D12" i="8"/>
  <c r="C12" i="8"/>
  <c r="E10" i="8"/>
  <c r="D10" i="8"/>
  <c r="C10" i="8"/>
  <c r="E9" i="8"/>
  <c r="D9" i="8"/>
  <c r="C9" i="8"/>
  <c r="E7" i="8"/>
  <c r="D7" i="8"/>
  <c r="C7" i="8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C7" i="7"/>
  <c r="I38" i="6"/>
  <c r="H38" i="6"/>
  <c r="G38" i="6"/>
  <c r="F38" i="6"/>
  <c r="E38" i="6"/>
  <c r="D38" i="6"/>
  <c r="C38" i="6"/>
  <c r="I37" i="6"/>
  <c r="H37" i="6"/>
  <c r="G37" i="6"/>
  <c r="F37" i="6"/>
  <c r="E37" i="6"/>
  <c r="D37" i="6"/>
  <c r="C37" i="6"/>
  <c r="C33" i="6"/>
  <c r="D21" i="6"/>
  <c r="C21" i="6"/>
  <c r="F8" i="6"/>
  <c r="E8" i="6"/>
  <c r="D8" i="6"/>
  <c r="J30" i="5"/>
  <c r="I30" i="5"/>
  <c r="H30" i="5"/>
  <c r="G30" i="5"/>
  <c r="F30" i="5"/>
  <c r="E30" i="5"/>
  <c r="D30" i="5"/>
  <c r="C30" i="5"/>
  <c r="J29" i="5"/>
  <c r="I29" i="5"/>
  <c r="H29" i="5"/>
  <c r="G29" i="5"/>
  <c r="F29" i="5"/>
  <c r="E29" i="5"/>
  <c r="D29" i="5"/>
  <c r="C29" i="5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J25" i="5"/>
  <c r="I25" i="5"/>
  <c r="H25" i="5"/>
  <c r="G25" i="5"/>
  <c r="F25" i="5"/>
  <c r="E25" i="5"/>
  <c r="D25" i="5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E60" i="4"/>
  <c r="D60" i="4"/>
  <c r="C60" i="4"/>
  <c r="E58" i="4"/>
  <c r="D58" i="4"/>
  <c r="C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3" i="4"/>
  <c r="F32" i="4"/>
  <c r="F31" i="4"/>
  <c r="F30" i="4"/>
  <c r="E29" i="4"/>
  <c r="D29" i="4"/>
  <c r="C29" i="4"/>
  <c r="F28" i="4"/>
  <c r="F27" i="4"/>
  <c r="F26" i="4"/>
  <c r="F25" i="4"/>
  <c r="F24" i="4"/>
  <c r="F23" i="4"/>
  <c r="E21" i="4"/>
  <c r="D21" i="4"/>
  <c r="C21" i="4"/>
  <c r="F20" i="4"/>
  <c r="F19" i="4"/>
  <c r="E18" i="4"/>
  <c r="D18" i="4"/>
  <c r="C18" i="4"/>
  <c r="F17" i="4"/>
  <c r="F16" i="4"/>
  <c r="F15" i="4"/>
  <c r="F14" i="4"/>
  <c r="E12" i="4"/>
  <c r="D12" i="4"/>
  <c r="C12" i="4"/>
  <c r="F11" i="4"/>
  <c r="F10" i="4"/>
  <c r="F9" i="4"/>
  <c r="F8" i="4"/>
  <c r="F7" i="4"/>
  <c r="C182" i="3"/>
  <c r="B98" i="3"/>
  <c r="B95" i="3"/>
  <c r="F88" i="3"/>
  <c r="F87" i="3"/>
  <c r="F86" i="3"/>
  <c r="I78" i="3"/>
  <c r="H78" i="3"/>
  <c r="G78" i="3"/>
  <c r="F78" i="3"/>
  <c r="E78" i="3"/>
  <c r="D78" i="3"/>
  <c r="C78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58" i="3"/>
  <c r="H58" i="3"/>
  <c r="G58" i="3"/>
  <c r="F58" i="3"/>
  <c r="E58" i="3"/>
  <c r="D58" i="3"/>
  <c r="C58" i="3"/>
  <c r="I46" i="3"/>
  <c r="H46" i="3"/>
  <c r="G46" i="3"/>
  <c r="F46" i="3"/>
  <c r="E46" i="3"/>
  <c r="D46" i="3"/>
  <c r="C46" i="3"/>
  <c r="I34" i="3"/>
  <c r="H34" i="3"/>
  <c r="G34" i="3"/>
  <c r="F34" i="3"/>
  <c r="E34" i="3"/>
  <c r="D34" i="3"/>
  <c r="C34" i="3"/>
  <c r="B22" i="3"/>
  <c r="B15" i="3"/>
  <c r="B40" i="2"/>
  <c r="E39" i="2"/>
  <c r="D39" i="2"/>
  <c r="C39" i="2"/>
  <c r="B39" i="2"/>
  <c r="B28" i="2"/>
  <c r="B27" i="2"/>
  <c r="B25" i="2"/>
  <c r="B24" i="2"/>
  <c r="B22" i="2"/>
  <c r="B21" i="2"/>
  <c r="C17" i="2"/>
  <c r="B17" i="2"/>
  <c r="C16" i="2"/>
  <c r="B16" i="2"/>
  <c r="B15" i="2"/>
  <c r="B6" i="2"/>
  <c r="D19" i="1"/>
  <c r="D13" i="1"/>
  <c r="C62" i="12" l="1"/>
  <c r="C32" i="11"/>
  <c r="C23" i="11"/>
  <c r="C16" i="11"/>
  <c r="C23" i="10"/>
  <c r="G70" i="3"/>
  <c r="E70" i="3"/>
  <c r="H70" i="3"/>
  <c r="F70" i="3"/>
  <c r="D70" i="3"/>
  <c r="C70" i="3"/>
  <c r="C37" i="11"/>
  <c r="C42" i="10"/>
  <c r="D42" i="10" s="1"/>
  <c r="E42" i="10" s="1"/>
  <c r="F42" i="10" s="1"/>
  <c r="G42" i="10" s="1"/>
  <c r="H42" i="10" s="1"/>
  <c r="I42" i="10" s="1"/>
  <c r="C38" i="10"/>
  <c r="C30" i="10"/>
  <c r="C31" i="10" s="1"/>
  <c r="C27" i="10"/>
  <c r="D27" i="10" s="1"/>
  <c r="E27" i="10" s="1"/>
  <c r="F27" i="10" s="1"/>
  <c r="G27" i="10" s="1"/>
  <c r="H27" i="10" s="1"/>
  <c r="I27" i="10" s="1"/>
  <c r="C12" i="10"/>
  <c r="D12" i="10" s="1"/>
  <c r="E12" i="10" s="1"/>
  <c r="F12" i="10" s="1"/>
  <c r="G12" i="10" s="1"/>
  <c r="H12" i="10" s="1"/>
  <c r="I12" i="10" s="1"/>
  <c r="C8" i="10"/>
  <c r="D33" i="9"/>
  <c r="B29" i="2" s="1"/>
  <c r="E25" i="9"/>
  <c r="F18" i="8" s="1"/>
  <c r="E24" i="9"/>
  <c r="K13" i="9"/>
  <c r="J13" i="9"/>
  <c r="I13" i="9"/>
  <c r="H13" i="9"/>
  <c r="G13" i="9"/>
  <c r="F13" i="9"/>
  <c r="E13" i="9"/>
  <c r="K12" i="9"/>
  <c r="K14" i="9" s="1"/>
  <c r="J12" i="9"/>
  <c r="J14" i="9" s="1"/>
  <c r="I12" i="9"/>
  <c r="H12" i="9"/>
  <c r="H14" i="9" s="1"/>
  <c r="G12" i="9"/>
  <c r="G14" i="9" s="1"/>
  <c r="F12" i="9"/>
  <c r="E12" i="9"/>
  <c r="K8" i="9"/>
  <c r="J8" i="9"/>
  <c r="I8" i="9"/>
  <c r="H8" i="9"/>
  <c r="G8" i="9"/>
  <c r="F8" i="9"/>
  <c r="E8" i="9"/>
  <c r="H39" i="6"/>
  <c r="F39" i="6"/>
  <c r="D39" i="6"/>
  <c r="I70" i="3"/>
  <c r="I11" i="7" s="1"/>
  <c r="B56" i="10"/>
  <c r="D7" i="9"/>
  <c r="C7" i="9"/>
  <c r="E23" i="8"/>
  <c r="D8" i="9" s="1"/>
  <c r="D23" i="8"/>
  <c r="C8" i="9" s="1"/>
  <c r="C23" i="8"/>
  <c r="E16" i="8"/>
  <c r="B23" i="2" s="1"/>
  <c r="D16" i="8"/>
  <c r="C16" i="8"/>
  <c r="E14" i="8"/>
  <c r="D14" i="8"/>
  <c r="C14" i="8"/>
  <c r="E11" i="8"/>
  <c r="D11" i="8"/>
  <c r="C11" i="8"/>
  <c r="E8" i="8"/>
  <c r="D8" i="8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I27" i="7" s="1"/>
  <c r="I28" i="7" s="1"/>
  <c r="H8" i="7"/>
  <c r="H27" i="7" s="1"/>
  <c r="H28" i="7" s="1"/>
  <c r="G8" i="7"/>
  <c r="G27" i="7" s="1"/>
  <c r="G28" i="7" s="1"/>
  <c r="F8" i="7"/>
  <c r="F27" i="7" s="1"/>
  <c r="F28" i="7" s="1"/>
  <c r="E8" i="7"/>
  <c r="E27" i="7" s="1"/>
  <c r="E28" i="7" s="1"/>
  <c r="D8" i="7"/>
  <c r="D27" i="7" s="1"/>
  <c r="D28" i="7" s="1"/>
  <c r="C8" i="7"/>
  <c r="C27" i="7" s="1"/>
  <c r="C28" i="7" s="1"/>
  <c r="C29" i="7" s="1"/>
  <c r="I39" i="6"/>
  <c r="G39" i="6"/>
  <c r="E39" i="6"/>
  <c r="C39" i="6"/>
  <c r="F60" i="4"/>
  <c r="E59" i="4"/>
  <c r="F59" i="4" s="1"/>
  <c r="D59" i="4"/>
  <c r="C59" i="4"/>
  <c r="F58" i="4"/>
  <c r="F29" i="4"/>
  <c r="E22" i="4"/>
  <c r="F22" i="4" s="1"/>
  <c r="D22" i="4"/>
  <c r="C22" i="4"/>
  <c r="F21" i="4"/>
  <c r="F18" i="4"/>
  <c r="E13" i="4"/>
  <c r="F13" i="4" s="1"/>
  <c r="D13" i="4"/>
  <c r="C13" i="4"/>
  <c r="F12" i="4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B26" i="3"/>
  <c r="B16" i="3"/>
  <c r="D40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B21" i="19"/>
  <c r="C22" i="16"/>
  <c r="B16" i="19"/>
  <c r="B14" i="19"/>
  <c r="B13" i="19"/>
  <c r="C23" i="16"/>
  <c r="C21" i="16"/>
  <c r="C20" i="16"/>
  <c r="C15" i="16"/>
  <c r="D20" i="1" s="1"/>
  <c r="C24" i="10" l="1"/>
  <c r="C28" i="10" s="1"/>
  <c r="C29" i="10" s="1"/>
  <c r="C32" i="10" s="1"/>
  <c r="D23" i="10"/>
  <c r="H11" i="7"/>
  <c r="G11" i="7"/>
  <c r="F11" i="7"/>
  <c r="E11" i="7"/>
  <c r="D11" i="7"/>
  <c r="C11" i="7"/>
  <c r="D38" i="10"/>
  <c r="C39" i="10"/>
  <c r="C43" i="10" s="1"/>
  <c r="C44" i="10" s="1"/>
  <c r="C45" i="10"/>
  <c r="C46" i="10" s="1"/>
  <c r="D8" i="10"/>
  <c r="C9" i="10"/>
  <c r="C13" i="10" s="1"/>
  <c r="C14" i="10" s="1"/>
  <c r="C15" i="10"/>
  <c r="C16" i="10" s="1"/>
  <c r="F21" i="9"/>
  <c r="I14" i="9"/>
  <c r="E27" i="2"/>
  <c r="F14" i="9"/>
  <c r="D27" i="2"/>
  <c r="E14" i="9"/>
  <c r="C27" i="2"/>
  <c r="E10" i="9"/>
  <c r="D29" i="7"/>
  <c r="E29" i="7" s="1"/>
  <c r="F29" i="7" s="1"/>
  <c r="G29" i="7" s="1"/>
  <c r="H29" i="7" s="1"/>
  <c r="I29" i="7" s="1"/>
  <c r="E40" i="2"/>
  <c r="B23" i="3"/>
  <c r="B99" i="3"/>
  <c r="B100" i="3" s="1"/>
  <c r="D85" i="3" s="1"/>
  <c r="C29" i="13"/>
  <c r="B27" i="19"/>
  <c r="I26" i="12"/>
  <c r="H26" i="12"/>
  <c r="G26" i="12"/>
  <c r="F26" i="12"/>
  <c r="E26" i="12"/>
  <c r="D26" i="12"/>
  <c r="C26" i="12"/>
  <c r="I25" i="12"/>
  <c r="H25" i="12"/>
  <c r="G25" i="12"/>
  <c r="F25" i="12"/>
  <c r="E25" i="12"/>
  <c r="D25" i="12"/>
  <c r="C25" i="12"/>
  <c r="I24" i="12"/>
  <c r="H24" i="12"/>
  <c r="G24" i="12"/>
  <c r="F24" i="12"/>
  <c r="E24" i="12"/>
  <c r="D24" i="12"/>
  <c r="H23" i="12"/>
  <c r="F23" i="12"/>
  <c r="H22" i="12"/>
  <c r="H21" i="12"/>
  <c r="C21" i="12"/>
  <c r="E20" i="12"/>
  <c r="D9" i="9"/>
  <c r="C9" i="9"/>
  <c r="C19" i="7"/>
  <c r="C17" i="7"/>
  <c r="C16" i="7"/>
  <c r="C20" i="7" s="1"/>
  <c r="C21" i="7" s="1"/>
  <c r="C12" i="7"/>
  <c r="C18" i="7"/>
  <c r="E23" i="10" l="1"/>
  <c r="D24" i="10"/>
  <c r="D30" i="10"/>
  <c r="D31" i="10" s="1"/>
  <c r="D54" i="10"/>
  <c r="E38" i="10"/>
  <c r="D39" i="10"/>
  <c r="D45" i="10"/>
  <c r="D46" i="10" s="1"/>
  <c r="D55" i="10"/>
  <c r="E8" i="10"/>
  <c r="D9" i="10"/>
  <c r="D15" i="10"/>
  <c r="D16" i="10" s="1"/>
  <c r="D53" i="10"/>
  <c r="F24" i="9"/>
  <c r="F25" i="9"/>
  <c r="G18" i="8" s="1"/>
  <c r="F10" i="9"/>
  <c r="F17" i="8"/>
  <c r="C22" i="13"/>
  <c r="C30" i="13"/>
  <c r="C85" i="3"/>
  <c r="I33" i="10"/>
  <c r="H33" i="10"/>
  <c r="G33" i="10"/>
  <c r="F33" i="10"/>
  <c r="E33" i="10"/>
  <c r="D33" i="10"/>
  <c r="C33" i="10"/>
  <c r="C34" i="10" s="1"/>
  <c r="F85" i="3"/>
  <c r="E85" i="3"/>
  <c r="G20" i="12"/>
  <c r="F21" i="12"/>
  <c r="E22" i="12"/>
  <c r="C23" i="12"/>
  <c r="C24" i="12"/>
  <c r="D20" i="12"/>
  <c r="I22" i="12"/>
  <c r="C20" i="12"/>
  <c r="H20" i="12"/>
  <c r="D21" i="12"/>
  <c r="G21" i="12"/>
  <c r="C22" i="12"/>
  <c r="F22" i="12"/>
  <c r="E23" i="12"/>
  <c r="I23" i="12"/>
  <c r="F20" i="12"/>
  <c r="I20" i="12"/>
  <c r="E21" i="12"/>
  <c r="I21" i="12"/>
  <c r="D22" i="12"/>
  <c r="G22" i="12"/>
  <c r="D23" i="12"/>
  <c r="G23" i="12"/>
  <c r="B30" i="2"/>
  <c r="D17" i="9"/>
  <c r="D7" i="7"/>
  <c r="F7" i="8"/>
  <c r="C13" i="7"/>
  <c r="C47" i="10"/>
  <c r="C17" i="10"/>
  <c r="F23" i="10" l="1"/>
  <c r="E24" i="10"/>
  <c r="E28" i="10" s="1"/>
  <c r="E29" i="10" s="1"/>
  <c r="E30" i="10"/>
  <c r="E31" i="10" s="1"/>
  <c r="D28" i="10"/>
  <c r="D29" i="10" s="1"/>
  <c r="D32" i="10" s="1"/>
  <c r="D34" i="10" s="1"/>
  <c r="E54" i="10"/>
  <c r="F38" i="10"/>
  <c r="E39" i="10"/>
  <c r="E43" i="10" s="1"/>
  <c r="E44" i="10" s="1"/>
  <c r="E45" i="10"/>
  <c r="E46" i="10" s="1"/>
  <c r="D43" i="10"/>
  <c r="D44" i="10" s="1"/>
  <c r="D47" i="10" s="1"/>
  <c r="E55" i="10"/>
  <c r="F8" i="10"/>
  <c r="E9" i="10"/>
  <c r="E13" i="10" s="1"/>
  <c r="E14" i="10" s="1"/>
  <c r="E15" i="10"/>
  <c r="E16" i="10" s="1"/>
  <c r="D13" i="10"/>
  <c r="D14" i="10" s="1"/>
  <c r="D17" i="10" s="1"/>
  <c r="E53" i="10"/>
  <c r="G21" i="9"/>
  <c r="G10" i="9"/>
  <c r="G17" i="8"/>
  <c r="C18" i="10"/>
  <c r="C19" i="10" s="1"/>
  <c r="D18" i="10"/>
  <c r="E18" i="10"/>
  <c r="F18" i="10"/>
  <c r="G18" i="10"/>
  <c r="H18" i="10"/>
  <c r="I18" i="10"/>
  <c r="B17" i="19"/>
  <c r="C9" i="11"/>
  <c r="H9" i="11"/>
  <c r="C17" i="11"/>
  <c r="G9" i="11"/>
  <c r="C40" i="2"/>
  <c r="E9" i="11"/>
  <c r="F9" i="11"/>
  <c r="D9" i="11"/>
  <c r="I9" i="11"/>
  <c r="C48" i="10"/>
  <c r="C49" i="10" s="1"/>
  <c r="D48" i="10"/>
  <c r="E48" i="10"/>
  <c r="F48" i="10"/>
  <c r="G48" i="10"/>
  <c r="H48" i="10"/>
  <c r="I48" i="10"/>
  <c r="D18" i="9"/>
  <c r="B26" i="2"/>
  <c r="D12" i="7"/>
  <c r="D16" i="7"/>
  <c r="D17" i="7"/>
  <c r="D18" i="7"/>
  <c r="D19" i="7"/>
  <c r="E15" i="9"/>
  <c r="E16" i="9" s="1"/>
  <c r="F8" i="8"/>
  <c r="F12" i="8"/>
  <c r="F15" i="8"/>
  <c r="I35" i="12"/>
  <c r="F36" i="12"/>
  <c r="D37" i="12"/>
  <c r="H37" i="12"/>
  <c r="D38" i="12"/>
  <c r="G38" i="12"/>
  <c r="I38" i="12"/>
  <c r="D36" i="12"/>
  <c r="H36" i="12"/>
  <c r="E37" i="12"/>
  <c r="I37" i="12"/>
  <c r="H38" i="12"/>
  <c r="C21" i="2"/>
  <c r="C32" i="12"/>
  <c r="D32" i="12"/>
  <c r="E32" i="12"/>
  <c r="F32" i="12"/>
  <c r="G32" i="12"/>
  <c r="H32" i="12"/>
  <c r="I32" i="12"/>
  <c r="C33" i="12"/>
  <c r="D33" i="12"/>
  <c r="E33" i="12"/>
  <c r="F33" i="12"/>
  <c r="G33" i="12"/>
  <c r="H33" i="12"/>
  <c r="I33" i="12"/>
  <c r="C34" i="12"/>
  <c r="D34" i="12"/>
  <c r="E34" i="12"/>
  <c r="F34" i="12"/>
  <c r="G34" i="12"/>
  <c r="D179" i="3"/>
  <c r="E179" i="3" s="1"/>
  <c r="G23" i="10" l="1"/>
  <c r="F24" i="10"/>
  <c r="F28" i="10" s="1"/>
  <c r="F29" i="10" s="1"/>
  <c r="F30" i="10"/>
  <c r="F31" i="10" s="1"/>
  <c r="D20" i="7"/>
  <c r="D21" i="7" s="1"/>
  <c r="E32" i="10"/>
  <c r="E34" i="10" s="1"/>
  <c r="G38" i="10"/>
  <c r="F39" i="10"/>
  <c r="F43" i="10" s="1"/>
  <c r="F44" i="10" s="1"/>
  <c r="F45" i="10"/>
  <c r="F46" i="10" s="1"/>
  <c r="G8" i="10"/>
  <c r="F9" i="10"/>
  <c r="F13" i="10" s="1"/>
  <c r="F14" i="10" s="1"/>
  <c r="F15" i="10"/>
  <c r="F16" i="10" s="1"/>
  <c r="G24" i="9"/>
  <c r="G25" i="9"/>
  <c r="H18" i="8" s="1"/>
  <c r="H10" i="9"/>
  <c r="H17" i="8"/>
  <c r="D13" i="7"/>
  <c r="G7" i="8"/>
  <c r="E7" i="7"/>
  <c r="C23" i="13"/>
  <c r="F16" i="8"/>
  <c r="C23" i="2" s="1"/>
  <c r="C22" i="2"/>
  <c r="B7" i="14"/>
  <c r="B23" i="19"/>
  <c r="F13" i="8"/>
  <c r="E17" i="10"/>
  <c r="E19" i="10" s="1"/>
  <c r="D19" i="10"/>
  <c r="H34" i="12"/>
  <c r="I34" i="12"/>
  <c r="C35" i="12"/>
  <c r="D35" i="12"/>
  <c r="E35" i="12"/>
  <c r="F35" i="12"/>
  <c r="G35" i="12"/>
  <c r="H35" i="12"/>
  <c r="E36" i="12"/>
  <c r="I36" i="12"/>
  <c r="F37" i="12"/>
  <c r="C38" i="12"/>
  <c r="F38" i="12"/>
  <c r="G37" i="12"/>
  <c r="C36" i="12"/>
  <c r="G36" i="12"/>
  <c r="C37" i="12"/>
  <c r="E38" i="12"/>
  <c r="E47" i="10"/>
  <c r="E49" i="10" s="1"/>
  <c r="D49" i="10"/>
  <c r="F47" i="10" l="1"/>
  <c r="F49" i="10" s="1"/>
  <c r="H23" i="10"/>
  <c r="G24" i="10"/>
  <c r="G28" i="10" s="1"/>
  <c r="G29" i="10" s="1"/>
  <c r="G30" i="10"/>
  <c r="G31" i="10" s="1"/>
  <c r="F17" i="10"/>
  <c r="F19" i="10" s="1"/>
  <c r="F32" i="10"/>
  <c r="F34" i="10" s="1"/>
  <c r="H38" i="10"/>
  <c r="G39" i="10"/>
  <c r="G43" i="10" s="1"/>
  <c r="G44" i="10" s="1"/>
  <c r="G45" i="10"/>
  <c r="G46" i="10" s="1"/>
  <c r="H8" i="10"/>
  <c r="G9" i="10"/>
  <c r="G13" i="10" s="1"/>
  <c r="G14" i="10" s="1"/>
  <c r="G15" i="10"/>
  <c r="G16" i="10" s="1"/>
  <c r="H21" i="9"/>
  <c r="I10" i="9"/>
  <c r="I17" i="8"/>
  <c r="F15" i="9"/>
  <c r="F16" i="9" s="1"/>
  <c r="G8" i="8"/>
  <c r="G12" i="8"/>
  <c r="G15" i="8"/>
  <c r="D21" i="2"/>
  <c r="E12" i="7"/>
  <c r="E16" i="7"/>
  <c r="E17" i="7"/>
  <c r="E18" i="7"/>
  <c r="E19" i="7"/>
  <c r="H7" i="14"/>
  <c r="D8" i="15" s="1"/>
  <c r="G7" i="14"/>
  <c r="C8" i="15" s="1"/>
  <c r="F8" i="15" s="1"/>
  <c r="F7" i="14"/>
  <c r="B8" i="15" s="1"/>
  <c r="B31" i="15" s="1"/>
  <c r="F14" i="8"/>
  <c r="D182" i="3" s="1"/>
  <c r="E182" i="3" s="1"/>
  <c r="F21" i="8"/>
  <c r="E7" i="9"/>
  <c r="E9" i="9" s="1"/>
  <c r="E17" i="9" s="1"/>
  <c r="C24" i="2"/>
  <c r="D180" i="3"/>
  <c r="E180" i="3" s="1"/>
  <c r="F10" i="8"/>
  <c r="I23" i="10" l="1"/>
  <c r="H24" i="10"/>
  <c r="H28" i="10" s="1"/>
  <c r="H29" i="10" s="1"/>
  <c r="H30" i="10"/>
  <c r="H31" i="10" s="1"/>
  <c r="C31" i="15"/>
  <c r="G32" i="10"/>
  <c r="G34" i="10" s="1"/>
  <c r="I38" i="10"/>
  <c r="H39" i="10"/>
  <c r="H43" i="10" s="1"/>
  <c r="H44" i="10" s="1"/>
  <c r="H45" i="10"/>
  <c r="H46" i="10" s="1"/>
  <c r="I8" i="10"/>
  <c r="H9" i="10"/>
  <c r="H13" i="10" s="1"/>
  <c r="H14" i="10" s="1"/>
  <c r="H15" i="10"/>
  <c r="H16" i="10" s="1"/>
  <c r="H24" i="9"/>
  <c r="H25" i="9"/>
  <c r="I18" i="8" s="1"/>
  <c r="J10" i="9"/>
  <c r="J17" i="8"/>
  <c r="C24" i="13"/>
  <c r="G11" i="16"/>
  <c r="G7" i="16"/>
  <c r="G10" i="16"/>
  <c r="G8" i="16"/>
  <c r="G9" i="16"/>
  <c r="G16" i="8"/>
  <c r="D23" i="2" s="1"/>
  <c r="B8" i="14"/>
  <c r="D22" i="2"/>
  <c r="G13" i="8"/>
  <c r="E13" i="7"/>
  <c r="H7" i="8"/>
  <c r="F7" i="7"/>
  <c r="F22" i="8"/>
  <c r="F23" i="8" s="1"/>
  <c r="E18" i="9"/>
  <c r="E29" i="9"/>
  <c r="E31" i="9" s="1"/>
  <c r="C7" i="11"/>
  <c r="C10" i="11" s="1"/>
  <c r="C26" i="2"/>
  <c r="F9" i="8"/>
  <c r="F11" i="8"/>
  <c r="G47" i="10"/>
  <c r="G49" i="10" s="1"/>
  <c r="G17" i="10"/>
  <c r="G19" i="10" s="1"/>
  <c r="E20" i="7"/>
  <c r="E21" i="7" s="1"/>
  <c r="I24" i="10" l="1"/>
  <c r="I30" i="10"/>
  <c r="I31" i="10" s="1"/>
  <c r="H32" i="10"/>
  <c r="H34" i="10" s="1"/>
  <c r="I39" i="10"/>
  <c r="I45" i="10"/>
  <c r="I46" i="10" s="1"/>
  <c r="I9" i="10"/>
  <c r="I15" i="10"/>
  <c r="I16" i="10" s="1"/>
  <c r="I21" i="9"/>
  <c r="K10" i="9"/>
  <c r="K17" i="8"/>
  <c r="H8" i="14"/>
  <c r="D9" i="15" s="1"/>
  <c r="G8" i="14"/>
  <c r="C9" i="15" s="1"/>
  <c r="F9" i="15" s="1"/>
  <c r="F8" i="14"/>
  <c r="B9" i="15" s="1"/>
  <c r="B32" i="15" s="1"/>
  <c r="G14" i="8"/>
  <c r="G21" i="8"/>
  <c r="F7" i="9"/>
  <c r="F9" i="9" s="1"/>
  <c r="F17" i="9" s="1"/>
  <c r="D24" i="2"/>
  <c r="G10" i="8"/>
  <c r="G15" i="9"/>
  <c r="G16" i="9" s="1"/>
  <c r="H8" i="8"/>
  <c r="H12" i="8"/>
  <c r="H15" i="8"/>
  <c r="F12" i="7"/>
  <c r="F16" i="7"/>
  <c r="F17" i="7"/>
  <c r="F18" i="7"/>
  <c r="F19" i="7"/>
  <c r="E32" i="9"/>
  <c r="F30" i="9"/>
  <c r="H47" i="10"/>
  <c r="H49" i="10" s="1"/>
  <c r="H17" i="10"/>
  <c r="H19" i="10" s="1"/>
  <c r="F24" i="8"/>
  <c r="K25" i="10" l="1"/>
  <c r="I28" i="10"/>
  <c r="I29" i="10" s="1"/>
  <c r="I32" i="10" s="1"/>
  <c r="F54" i="10"/>
  <c r="C32" i="15"/>
  <c r="F20" i="7"/>
  <c r="K40" i="10"/>
  <c r="I43" i="10"/>
  <c r="I44" i="10" s="1"/>
  <c r="I47" i="10" s="1"/>
  <c r="F55" i="10"/>
  <c r="K10" i="10"/>
  <c r="I13" i="10"/>
  <c r="I14" i="10" s="1"/>
  <c r="I17" i="10" s="1"/>
  <c r="F53" i="10"/>
  <c r="I24" i="9"/>
  <c r="I25" i="9"/>
  <c r="J18" i="8" s="1"/>
  <c r="B19" i="19"/>
  <c r="L17" i="8"/>
  <c r="G22" i="8"/>
  <c r="G23" i="8" s="1"/>
  <c r="F18" i="9"/>
  <c r="F29" i="9"/>
  <c r="F31" i="9" s="1"/>
  <c r="D7" i="11"/>
  <c r="D10" i="11" s="1"/>
  <c r="D26" i="2"/>
  <c r="G9" i="8"/>
  <c r="G11" i="8"/>
  <c r="H16" i="8"/>
  <c r="H13" i="8"/>
  <c r="F13" i="7"/>
  <c r="I7" i="8"/>
  <c r="G7" i="7"/>
  <c r="C28" i="2"/>
  <c r="E33" i="9"/>
  <c r="C29" i="2" s="1"/>
  <c r="D181" i="3"/>
  <c r="E181" i="3" s="1"/>
  <c r="B12" i="14"/>
  <c r="F25" i="8"/>
  <c r="F21" i="7"/>
  <c r="I34" i="10" l="1"/>
  <c r="K23" i="10" s="1"/>
  <c r="K24" i="10"/>
  <c r="K26" i="10" s="1"/>
  <c r="I49" i="10"/>
  <c r="K38" i="10" s="1"/>
  <c r="K39" i="10"/>
  <c r="K41" i="10" s="1"/>
  <c r="I19" i="10"/>
  <c r="K8" i="10" s="1"/>
  <c r="B28" i="19"/>
  <c r="K9" i="10"/>
  <c r="K11" i="10" s="1"/>
  <c r="J21" i="9"/>
  <c r="H14" i="8"/>
  <c r="H21" i="8"/>
  <c r="G7" i="9"/>
  <c r="G9" i="9" s="1"/>
  <c r="G17" i="9" s="1"/>
  <c r="H10" i="8"/>
  <c r="H15" i="9"/>
  <c r="H16" i="9" s="1"/>
  <c r="I8" i="8"/>
  <c r="I12" i="8"/>
  <c r="I15" i="8"/>
  <c r="G12" i="7"/>
  <c r="G16" i="7"/>
  <c r="G17" i="7"/>
  <c r="G18" i="7"/>
  <c r="G19" i="7"/>
  <c r="H12" i="14"/>
  <c r="D13" i="15" s="1"/>
  <c r="G12" i="14"/>
  <c r="C13" i="15" s="1"/>
  <c r="F13" i="15" s="1"/>
  <c r="F12" i="14"/>
  <c r="B13" i="15" s="1"/>
  <c r="B36" i="15" s="1"/>
  <c r="F26" i="8"/>
  <c r="F27" i="8"/>
  <c r="F32" i="9"/>
  <c r="G30" i="9"/>
  <c r="G24" i="8"/>
  <c r="G25" i="8" s="1"/>
  <c r="K27" i="10" l="1"/>
  <c r="J24" i="9"/>
  <c r="J25" i="9"/>
  <c r="K18" i="8" s="1"/>
  <c r="H22" i="8"/>
  <c r="H23" i="8" s="1"/>
  <c r="H24" i="8"/>
  <c r="H25" i="8" s="1"/>
  <c r="G18" i="9"/>
  <c r="G29" i="9"/>
  <c r="G31" i="9" s="1"/>
  <c r="E7" i="11"/>
  <c r="E10" i="11" s="1"/>
  <c r="H9" i="8"/>
  <c r="H11" i="8"/>
  <c r="I16" i="8"/>
  <c r="I13" i="8"/>
  <c r="G13" i="7"/>
  <c r="J7" i="8"/>
  <c r="H7" i="7"/>
  <c r="C25" i="2"/>
  <c r="B10" i="14"/>
  <c r="C27" i="13"/>
  <c r="B32" i="14"/>
  <c r="C24" i="14"/>
  <c r="D24" i="14" s="1"/>
  <c r="B31" i="2" s="1"/>
  <c r="F33" i="9"/>
  <c r="D29" i="2" s="1"/>
  <c r="D28" i="2"/>
  <c r="G27" i="8"/>
  <c r="G26" i="8"/>
  <c r="D25" i="2" s="1"/>
  <c r="G20" i="7"/>
  <c r="G21" i="7" s="1"/>
  <c r="K42" i="10"/>
  <c r="K12" i="10"/>
  <c r="C36" i="15"/>
  <c r="K28" i="10" l="1"/>
  <c r="K29" i="10" s="1"/>
  <c r="K30" i="10"/>
  <c r="K21" i="9"/>
  <c r="H26" i="8"/>
  <c r="H27" i="8"/>
  <c r="C26" i="14" s="1"/>
  <c r="D26" i="14" s="1"/>
  <c r="I14" i="8"/>
  <c r="I21" i="8"/>
  <c r="H7" i="9"/>
  <c r="H9" i="9" s="1"/>
  <c r="H17" i="9" s="1"/>
  <c r="I10" i="8"/>
  <c r="I15" i="9"/>
  <c r="I16" i="9" s="1"/>
  <c r="J8" i="8"/>
  <c r="J12" i="8"/>
  <c r="J15" i="8"/>
  <c r="H12" i="7"/>
  <c r="H16" i="7"/>
  <c r="H17" i="7"/>
  <c r="H18" i="7"/>
  <c r="H19" i="7"/>
  <c r="F10" i="14"/>
  <c r="B11" i="15" s="1"/>
  <c r="B34" i="15" s="1"/>
  <c r="H10" i="14"/>
  <c r="D11" i="15" s="1"/>
  <c r="C34" i="15" s="1"/>
  <c r="G10" i="14"/>
  <c r="C11" i="15" s="1"/>
  <c r="F11" i="15" s="1"/>
  <c r="D32" i="14"/>
  <c r="F32" i="14"/>
  <c r="C32" i="14"/>
  <c r="G32" i="14"/>
  <c r="E32" i="14"/>
  <c r="C25" i="14"/>
  <c r="D25" i="14" s="1"/>
  <c r="C31" i="2" s="1"/>
  <c r="B33" i="14"/>
  <c r="K45" i="10"/>
  <c r="K43" i="10"/>
  <c r="K44" i="10" s="1"/>
  <c r="K15" i="10"/>
  <c r="K13" i="10"/>
  <c r="K14" i="10" s="1"/>
  <c r="H30" i="9"/>
  <c r="G32" i="9"/>
  <c r="G33" i="9" s="1"/>
  <c r="H20" i="7" l="1"/>
  <c r="H21" i="7" s="1"/>
  <c r="C7" i="15"/>
  <c r="C45" i="11"/>
  <c r="D45" i="11" s="1"/>
  <c r="C54" i="10"/>
  <c r="G54" i="10" s="1"/>
  <c r="B11" i="2"/>
  <c r="D16" i="1"/>
  <c r="K24" i="9"/>
  <c r="K25" i="9"/>
  <c r="L18" i="8" s="1"/>
  <c r="I22" i="8"/>
  <c r="I23" i="8" s="1"/>
  <c r="I24" i="8"/>
  <c r="I25" i="8" s="1"/>
  <c r="H18" i="9"/>
  <c r="H29" i="9"/>
  <c r="H31" i="9" s="1"/>
  <c r="F7" i="11"/>
  <c r="F10" i="11" s="1"/>
  <c r="I9" i="8"/>
  <c r="I11" i="8"/>
  <c r="J16" i="8"/>
  <c r="J13" i="8"/>
  <c r="H13" i="7"/>
  <c r="K7" i="8"/>
  <c r="I7" i="7"/>
  <c r="D33" i="14"/>
  <c r="G33" i="14"/>
  <c r="C33" i="14"/>
  <c r="F33" i="14"/>
  <c r="E33" i="14"/>
  <c r="C46" i="11"/>
  <c r="D46" i="11" s="1"/>
  <c r="D17" i="1"/>
  <c r="B12" i="2"/>
  <c r="D7" i="15"/>
  <c r="C55" i="10"/>
  <c r="G55" i="10" s="1"/>
  <c r="C53" i="10"/>
  <c r="C44" i="11"/>
  <c r="D44" i="11" s="1"/>
  <c r="B7" i="15"/>
  <c r="B30" i="15" s="1"/>
  <c r="B10" i="2"/>
  <c r="D18" i="1"/>
  <c r="D21" i="1"/>
  <c r="I30" i="9"/>
  <c r="H32" i="9"/>
  <c r="H33" i="9" s="1"/>
  <c r="F7" i="15" l="1"/>
  <c r="I26" i="8"/>
  <c r="I27" i="8"/>
  <c r="J14" i="8"/>
  <c r="J21" i="8"/>
  <c r="I7" i="9"/>
  <c r="I9" i="9" s="1"/>
  <c r="I17" i="9" s="1"/>
  <c r="J10" i="8"/>
  <c r="J15" i="9"/>
  <c r="J16" i="9" s="1"/>
  <c r="K8" i="8"/>
  <c r="K12" i="8"/>
  <c r="K15" i="8"/>
  <c r="I12" i="7"/>
  <c r="I16" i="7"/>
  <c r="I20" i="7" s="1"/>
  <c r="I21" i="7" s="1"/>
  <c r="B22" i="19" s="1"/>
  <c r="I17" i="7"/>
  <c r="I18" i="7"/>
  <c r="I19" i="7"/>
  <c r="G53" i="10"/>
  <c r="C56" i="10"/>
  <c r="C30" i="15"/>
  <c r="J22" i="8" l="1"/>
  <c r="J23" i="8" s="1"/>
  <c r="J24" i="8"/>
  <c r="J25" i="8" s="1"/>
  <c r="I18" i="9"/>
  <c r="I29" i="9"/>
  <c r="I31" i="9" s="1"/>
  <c r="G7" i="11"/>
  <c r="G10" i="11" s="1"/>
  <c r="J9" i="8"/>
  <c r="J11" i="8"/>
  <c r="K16" i="8"/>
  <c r="K13" i="8"/>
  <c r="I13" i="7"/>
  <c r="L7" i="8"/>
  <c r="C22" i="15"/>
  <c r="G56" i="10"/>
  <c r="D14" i="1"/>
  <c r="C47" i="11"/>
  <c r="D47" i="11" s="1"/>
  <c r="B9" i="2"/>
  <c r="J26" i="8" l="1"/>
  <c r="J27" i="8"/>
  <c r="J30" i="9"/>
  <c r="I32" i="9"/>
  <c r="K14" i="8"/>
  <c r="K21" i="8"/>
  <c r="J7" i="9"/>
  <c r="J9" i="9" s="1"/>
  <c r="J17" i="9" s="1"/>
  <c r="K10" i="8"/>
  <c r="E21" i="2"/>
  <c r="B13" i="14"/>
  <c r="K15" i="9"/>
  <c r="K16" i="9" s="1"/>
  <c r="L8" i="8"/>
  <c r="L12" i="8"/>
  <c r="L15" i="8"/>
  <c r="I33" i="9" l="1"/>
  <c r="K22" i="8"/>
  <c r="K23" i="8" s="1"/>
  <c r="J18" i="9"/>
  <c r="J29" i="9"/>
  <c r="J31" i="9" s="1"/>
  <c r="H7" i="11"/>
  <c r="H10" i="11" s="1"/>
  <c r="K9" i="8"/>
  <c r="K11" i="8"/>
  <c r="H13" i="14"/>
  <c r="D14" i="15" s="1"/>
  <c r="C37" i="15" s="1"/>
  <c r="F13" i="14"/>
  <c r="B14" i="15" s="1"/>
  <c r="B37" i="15" s="1"/>
  <c r="G13" i="14"/>
  <c r="C14" i="15" s="1"/>
  <c r="F14" i="15" s="1"/>
  <c r="C25" i="13"/>
  <c r="B9" i="14"/>
  <c r="E22" i="2"/>
  <c r="L16" i="8"/>
  <c r="E23" i="2" s="1"/>
  <c r="C22" i="11"/>
  <c r="C24" i="11" s="1"/>
  <c r="C25" i="11" s="1"/>
  <c r="L13" i="8"/>
  <c r="K24" i="8" l="1"/>
  <c r="K25" i="8" s="1"/>
  <c r="K26" i="8"/>
  <c r="K27" i="8"/>
  <c r="K30" i="9"/>
  <c r="J32" i="9"/>
  <c r="F9" i="14"/>
  <c r="B10" i="15" s="1"/>
  <c r="B33" i="15" s="1"/>
  <c r="G9" i="14"/>
  <c r="H9" i="14"/>
  <c r="D10" i="15" s="1"/>
  <c r="E24" i="2"/>
  <c r="L14" i="8"/>
  <c r="L21" i="8"/>
  <c r="K7" i="9"/>
  <c r="K9" i="9" s="1"/>
  <c r="K17" i="9" s="1"/>
  <c r="L10" i="8"/>
  <c r="C33" i="15" l="1"/>
  <c r="J33" i="9"/>
  <c r="B8" i="2"/>
  <c r="B25" i="19"/>
  <c r="C10" i="15"/>
  <c r="L22" i="8"/>
  <c r="L23" i="8" s="1"/>
  <c r="L24" i="8"/>
  <c r="L25" i="8" s="1"/>
  <c r="E10" i="12"/>
  <c r="C8" i="12"/>
  <c r="F9" i="12"/>
  <c r="D14" i="12"/>
  <c r="H10" i="12"/>
  <c r="C13" i="12"/>
  <c r="I14" i="12"/>
  <c r="H8" i="12"/>
  <c r="E9" i="12"/>
  <c r="I12" i="12"/>
  <c r="E13" i="12"/>
  <c r="E14" i="12"/>
  <c r="H13" i="12"/>
  <c r="E8" i="12"/>
  <c r="G10" i="12"/>
  <c r="G11" i="12"/>
  <c r="F11" i="12"/>
  <c r="I10" i="12"/>
  <c r="I9" i="12"/>
  <c r="I11" i="12"/>
  <c r="E11" i="12"/>
  <c r="F12" i="12"/>
  <c r="G14" i="12"/>
  <c r="F8" i="12"/>
  <c r="D11" i="12"/>
  <c r="D10" i="12"/>
  <c r="F10" i="12"/>
  <c r="G13" i="12"/>
  <c r="I13" i="12"/>
  <c r="G9" i="12"/>
  <c r="H14" i="12"/>
  <c r="G8" i="12"/>
  <c r="F13" i="12"/>
  <c r="E12" i="12"/>
  <c r="F14" i="12"/>
  <c r="H12" i="12"/>
  <c r="D13" i="12"/>
  <c r="C11" i="12"/>
  <c r="C14" i="12"/>
  <c r="I8" i="12"/>
  <c r="D8" i="12"/>
  <c r="H9" i="12"/>
  <c r="D12" i="12"/>
  <c r="G12" i="12"/>
  <c r="E26" i="2"/>
  <c r="C10" i="12"/>
  <c r="C12" i="12"/>
  <c r="C9" i="12"/>
  <c r="H11" i="12"/>
  <c r="D9" i="12"/>
  <c r="K18" i="9"/>
  <c r="K29" i="9"/>
  <c r="K31" i="9" s="1"/>
  <c r="K32" i="9" s="1"/>
  <c r="I7" i="11"/>
  <c r="L9" i="8"/>
  <c r="L11" i="8"/>
  <c r="F10" i="15" l="1"/>
  <c r="L26" i="8"/>
  <c r="L27" i="8"/>
  <c r="K33" i="9"/>
  <c r="E29" i="2" s="1"/>
  <c r="B20" i="19"/>
  <c r="C15" i="11"/>
  <c r="C18" i="11" s="1"/>
  <c r="C19" i="11" s="1"/>
  <c r="C30" i="11" s="1"/>
  <c r="I10" i="11"/>
  <c r="C12" i="11" s="1"/>
  <c r="C29" i="11" s="1"/>
  <c r="E28" i="2"/>
  <c r="C31" i="11" l="1"/>
  <c r="C36" i="11" s="1"/>
  <c r="C28" i="13"/>
  <c r="B11" i="14"/>
  <c r="E25" i="2"/>
  <c r="C27" i="14"/>
  <c r="D27" i="14" s="1"/>
  <c r="D31" i="2" s="1"/>
  <c r="B34" i="14"/>
  <c r="B15" i="19" l="1"/>
  <c r="C38" i="11"/>
  <c r="C39" i="11"/>
  <c r="H11" i="14"/>
  <c r="D12" i="15" s="1"/>
  <c r="G11" i="14"/>
  <c r="C12" i="15" s="1"/>
  <c r="F11" i="14"/>
  <c r="B12" i="15" s="1"/>
  <c r="B35" i="15" s="1"/>
  <c r="G34" i="14"/>
  <c r="E34" i="14"/>
  <c r="D34" i="14"/>
  <c r="C34" i="14"/>
  <c r="F34" i="14"/>
  <c r="B7" i="2" l="1"/>
  <c r="C41" i="11"/>
  <c r="B18" i="19"/>
  <c r="C40" i="11"/>
  <c r="B24" i="19"/>
  <c r="C21" i="15"/>
  <c r="C25" i="15"/>
  <c r="C20" i="15"/>
  <c r="C19" i="15"/>
  <c r="C24" i="15"/>
  <c r="F12" i="15"/>
  <c r="F15" i="15" s="1"/>
  <c r="C35" i="15"/>
  <c r="C27" i="15" l="1"/>
  <c r="B14" i="2" s="1"/>
  <c r="C23" i="15"/>
  <c r="D15" i="1" l="1"/>
  <c r="B13" i="2"/>
  <c r="B26" i="19" s="1"/>
</calcChain>
</file>

<file path=xl/sharedStrings.xml><?xml version="1.0" encoding="utf-8"?>
<sst xmlns="http://schemas.openxmlformats.org/spreadsheetml/2006/main" count="1525" uniqueCount="950">
  <si>
    <t>JAPAN STOCK ALPHA</t>
  </si>
  <si>
    <t>Kioxia Holdings Corporation — Full Valuation Model</t>
  </si>
  <si>
    <t>Ticker: 285A JP (Tokyo Stock Exchange, Prime)  |  NAND flash memory</t>
  </si>
  <si>
    <t>Valuation date: 12-Jun-2026   |   Share price: ¥81,200 (TSE close 12-Jun-2026)</t>
  </si>
  <si>
    <t>Current share price</t>
  </si>
  <si>
    <t>Probability-weighted DCF fair value</t>
  </si>
  <si>
    <t>Integrated weighted fair value</t>
  </si>
  <si>
    <t>Base-case DCF fair value</t>
  </si>
  <si>
    <t>Bull-case DCF fair value</t>
  </si>
  <si>
    <t>Bear-case DCF fair value</t>
  </si>
  <si>
    <t>Expected 12M price (scenario-weighted)</t>
  </si>
  <si>
    <t>Expected 12M total return</t>
  </si>
  <si>
    <t>Downside to Bear-case DCF</t>
  </si>
  <si>
    <t>Disclaimer: prepared by JapanStockAlpha from public information only (company filings, established industry research, reputable financial media). Not investment advice. Forward-looking figures are scenario-based analyst estimates, not forecasts. All sources with access dates on the Sources sheet.</t>
  </si>
  <si>
    <t>Sheet 2 of 20</t>
  </si>
  <si>
    <t>Executive Dashboard</t>
  </si>
  <si>
    <t>Kioxia Holdings (285A JP)  |  Valuation date: 12-Jun-2026  |  JPY billions unless noted</t>
  </si>
  <si>
    <t>VALUATION SUMMARY</t>
  </si>
  <si>
    <t>Current share price (12-Jun-2026)</t>
  </si>
  <si>
    <t>DCF fair value (active scenario)</t>
  </si>
  <si>
    <t>Multiple-based fair value (mid-cycle EV/EBITDA, base)</t>
  </si>
  <si>
    <t>Probability-weighted DCF value</t>
  </si>
  <si>
    <t>Bear-case DCF</t>
  </si>
  <si>
    <t>Base-case DCF</t>
  </si>
  <si>
    <t>Bull-case DCF</t>
  </si>
  <si>
    <t>Upside / (downside) to integrated fair value</t>
  </si>
  <si>
    <t>12-month target (probability-weighted)</t>
  </si>
  <si>
    <t>2-year scenario range (low / high)</t>
  </si>
  <si>
    <t>3-year scenario range (low / high)</t>
  </si>
  <si>
    <t>KEY FINANCIAL METRICS (ACTIVE SCENARIO PATH)</t>
  </si>
  <si>
    <t>FY2025A</t>
  </si>
  <si>
    <t>FY2026E</t>
  </si>
  <si>
    <t>FY2027E</t>
  </si>
  <si>
    <t>Mid-cycle (FY30-32E)</t>
  </si>
  <si>
    <t>Revenue (JPY bn)</t>
  </si>
  <si>
    <t>EBITDA (JPY bn)</t>
  </si>
  <si>
    <t>EBITDA margin</t>
  </si>
  <si>
    <t>Operating profit (JPY bn)</t>
  </si>
  <si>
    <t>Basic EPS (JPY)</t>
  </si>
  <si>
    <t>FCFF (JPY bn)</t>
  </si>
  <si>
    <t>Gross capex (JPY bn)</t>
  </si>
  <si>
    <t>Net debt / (net cash) (JPY bn)</t>
  </si>
  <si>
    <t>Net debt / EBITDA</t>
  </si>
  <si>
    <t>ROIC FY2025 (NOPAT / equity + net debt, approx.)</t>
  </si>
  <si>
    <t>Forward P/E  (FY26E / FY27E / normalised)</t>
  </si>
  <si>
    <t>KEY ASSUMPTIONS (ACTIVE SCENARIO)</t>
  </si>
  <si>
    <t>FY2028E</t>
  </si>
  <si>
    <t>FY2030E</t>
  </si>
  <si>
    <t>NAND bit growth (Kioxia)</t>
  </si>
  <si>
    <t>ASP per bit change</t>
  </si>
  <si>
    <t>NWC % of revenue</t>
  </si>
  <si>
    <t>Market bit demand growth</t>
  </si>
  <si>
    <t>USD/JPY (guidance) / WACC / Exit multiple / Mkt share est. (FY26E)</t>
  </si>
  <si>
    <t>Sheet 3 of 20</t>
  </si>
  <si>
    <t>Assumptions &amp; Scenario Drivers</t>
  </si>
  <si>
    <t>SCENARIO SELECTOR</t>
  </si>
  <si>
    <t>Scenario selected (1 = Bear, 2 = Base, 3 = Bull)</t>
  </si>
  <si>
    <t>Selector flows through the Revenue Build, Operating Model, Cash Flow Model and DCF</t>
  </si>
  <si>
    <t>VALUATION DATE, MARKET DATA &amp; CAPITAL STRUCTURE</t>
  </si>
  <si>
    <t>Valuation date</t>
  </si>
  <si>
    <t>12-Jun-2026</t>
  </si>
  <si>
    <t>Last full trading day before model date</t>
  </si>
  <si>
    <t>Share price date</t>
  </si>
  <si>
    <t>12-Jun-2026 close</t>
  </si>
  <si>
    <t>Nikkei / Asahi, accessed 13-Jun-2026</t>
  </si>
  <si>
    <t>Current share price (JPY)</t>
  </si>
  <si>
    <t>TSE close 12-Jun-2026: ¥81,200 (+¥5,760); intraday high ¥83,140 (Nikkei)</t>
  </si>
  <si>
    <t>Basic shares outstanding (M)</t>
  </si>
  <si>
    <t>546,086,290 issued less 161 treasury, 31-Mar-2026 (FY2025 Tanshin)</t>
  </si>
  <si>
    <t>Treasury shares (M)</t>
  </si>
  <si>
    <t>161 shares as of 31-Mar-2026 (FY2025 Tanshin)</t>
  </si>
  <si>
    <t>Potential dilution: options / RSU / PSU (M)</t>
  </si>
  <si>
    <t>7.009M SARs + 0.336M RSU + 0.660M PSU dilutive effect (FY2025 Tanshin EPS note)</t>
  </si>
  <si>
    <t>Diluted shares outstanding (M)</t>
  </si>
  <si>
    <t>Basic + dilutive instruments</t>
  </si>
  <si>
    <t>Market capitalisation, diluted (JPY bn)</t>
  </si>
  <si>
    <t>Reported mkt cap ¥44,363bn on issued shares (Asahi, 12-Jun-2026)</t>
  </si>
  <si>
    <t>Cash &amp; cash equivalents (JPY bn)</t>
  </si>
  <si>
    <t>Balance sheet 31-Mar-2026 (FY2025 Tanshin)</t>
  </si>
  <si>
    <t>Interest-bearing debt: bonds &amp; borrowings (JPY bn)</t>
  </si>
  <si>
    <t>175.5 current + 872.1 non-current, 31-Mar-2026 (FY2025 Tanshin)</t>
  </si>
  <si>
    <t>Lease liabilities (JPY bn)</t>
  </si>
  <si>
    <t>43.9 current + 161.7 non-current, 31-Mar-2026</t>
  </si>
  <si>
    <t>Non-controlling interests (JPY bn)</t>
  </si>
  <si>
    <t>31-Mar-2026 balance sheet</t>
  </si>
  <si>
    <t>Retirement benefit liability (JPY bn)</t>
  </si>
  <si>
    <t>Net debt excl. leases (JPY bn)</t>
  </si>
  <si>
    <t>Company swap-adjusted net debt: ¥552.1bn (FY2025 results deck p.18)</t>
  </si>
  <si>
    <t>Enterprise value (JPY bn)</t>
  </si>
  <si>
    <t>Mkt cap + net debt + leases + NCI + pension</t>
  </si>
  <si>
    <t>USD/JPY assumption</t>
  </si>
  <si>
    <t>Company FY2026 Q1 guidance rate (FY2025 Tanshin); FY2025 average: 150</t>
  </si>
  <si>
    <t>Fiscal year convention</t>
  </si>
  <si>
    <t>FYE 31-March (FY2025 = year ended Mar-2026)</t>
  </si>
  <si>
    <t>Total equity-value adjustments (JPY bn)</t>
  </si>
  <si>
    <t>Used in all EV-to-equity bridges</t>
  </si>
  <si>
    <t>Note: market capitalisation uses the 12-Jun-2026 share price; balance-sheet items are as of 31-Mar-2026 (latest filing). Post-FYE: ¥527.5bn of term loans repaid early Apr-May 2026; ¥78.2bn Nanya equity acquired 8-Apr-2026 (subsequent events note).</t>
  </si>
  <si>
    <t>BEAR CASE DRIVERS  (Chinese oversupply, AI storage demand disappoints, sharp FY2028 ASP correction)</t>
  </si>
  <si>
    <t>FY2029E</t>
  </si>
  <si>
    <t>FY2031E</t>
  </si>
  <si>
    <t>FY2032E</t>
  </si>
  <si>
    <t>Kioxia bit shipment growth (YoY)</t>
  </si>
  <si>
    <t>Constant-mix NAND price per bit change, USD (YoY)</t>
  </si>
  <si>
    <t>Product-mix impact on revenue (YoY)</t>
  </si>
  <si>
    <t>FX translation impact (YoY)</t>
  </si>
  <si>
    <t>EBITDA margin (IFRS basis)</t>
  </si>
  <si>
    <t>Gross capital expenditure (JPY bn)</t>
  </si>
  <si>
    <t>Government subsidies received (JPY bn)</t>
  </si>
  <si>
    <t>Net working capital, % of revenue</t>
  </si>
  <si>
    <t>Cash tax rate</t>
  </si>
  <si>
    <t>SG&amp;A (incl. R&amp;D in SG&amp;A), % of revenue</t>
  </si>
  <si>
    <t>Bear scenario; explicit scale/normalisation assumption</t>
  </si>
  <si>
    <t>BASE CASE DRIVERS  (FY26-27 supercycle on AI/enterprise SSD, normalisation to mid-cycle by FY2030)</t>
  </si>
  <si>
    <t>FY2026E Base price raised +200%→+208.6% to anchor revenue to IFIS consensus ¥9,272.5bn (FYE Mar-2027); margin 80.0%→80.9% anchors OP to consensus ¥7,180bn</t>
  </si>
  <si>
    <t>Base scenario; explicit scale/normalisation assumption</t>
  </si>
  <si>
    <t>BULL CASE DRIVERS  (structural shortage through FY2029, LTAs anchor pricing, durable mid-40s% margins)</t>
  </si>
  <si>
    <t>Bull scenario; explicit scale/normalisation assumption</t>
  </si>
  <si>
    <t>ACTIVE SCENARIO DRIVERS  (=CHOOSE on selector; feed the model)</t>
  </si>
  <si>
    <t>SHARED OPERATING PARAMETERS</t>
  </si>
  <si>
    <t>Active SG&amp;A (incl. R&amp;D in SG&amp;A), % of revenue</t>
  </si>
  <si>
    <t>Formula-driven from Bear / Base / Bull SG&amp;A rows</t>
  </si>
  <si>
    <t>D&amp;A run-off rate on existing base (p.a.)</t>
  </si>
  <si>
    <t>Calibrated so FY2025 D&amp;A ¥312.8bn vs capex ¥283.7bn converges toward capex over time</t>
  </si>
  <si>
    <t>Depreciation rate on prior-year capex</t>
  </si>
  <si>
    <t>14% prior-year + 8% current-year convention; steady-state D&amp;A converges toward capex</t>
  </si>
  <si>
    <t>Depreciation rate on current-year capex</t>
  </si>
  <si>
    <t>VALUATION SCALARS BY SCENARIO</t>
  </si>
  <si>
    <t>Bear</t>
  </si>
  <si>
    <t>Base</t>
  </si>
  <si>
    <t>Bull</t>
  </si>
  <si>
    <t>Active</t>
  </si>
  <si>
    <t>WACC (nominal JPY)</t>
  </si>
  <si>
    <t>Single WACC across all scenarios (= Base 9.3%): discount rate reflects systematic risk/capital structure, NOT the operating scenario. Uncertainty is expressed via cash flows (Bear/Base/Bull) and exit multiple (4.5/6.0/7.5x), avoiding double-counting. WACC sensitivity is covered by Sensitivity 1.</t>
  </si>
  <si>
    <t>Terminal growth rate (nominal JPY)</t>
  </si>
  <si>
    <t>Raised Bear/Base/Bull 1.0/1.5/2.0% → 1.5/2.0/2.5%: a 1.5% nominal terminal rate vs a 2.6% risk-free implies perpetual real decline in a structurally growing storage end-market; 2.0% base sits just below long-run nominal GDP. Gordon/exit-multiple averaging keeps TV anchored.</t>
  </si>
  <si>
    <t>Exit EV / EBITDA multiple (mid-cycle)</t>
  </si>
  <si>
    <t>Scenario probability</t>
  </si>
  <si>
    <t>Probabilities reflect: 2026 undersupply consensus (TrendForce), 8 prior NAND cycles averaging 2-3yr peak-to-trough, current capex discipline vs YMTC expansion risk, and elevated customer prepayments/LTAs.</t>
  </si>
  <si>
    <t>WACC BUILD (BASE)  — nominal JPY, consistent with nominal JPY cash flows</t>
  </si>
  <si>
    <t>Risk-free rate (10y JGB, est.)</t>
  </si>
  <si>
    <t>Analyst estimate, Jun-2026; Tier-3 market data</t>
  </si>
  <si>
    <t>Equity risk premium (Japan)</t>
  </si>
  <si>
    <t>Analyst assumption (Damodaran-style mature mkt + JP adj.)</t>
  </si>
  <si>
    <t>Levered beta</t>
  </si>
  <si>
    <t>Analyst est.: 1.35→1.25 — net-cash balance sheet (equity beta ≈ asset beta) + Nikkei225/MSCI inclusion bring it toward memory peers (Micron/SK hynix ~1.2-1.3); short listing history keeps it just above 1.2 for NAND cyclicality</t>
  </si>
  <si>
    <t>Cost of equity</t>
  </si>
  <si>
    <t>Pre-tax cost of debt</t>
  </si>
  <si>
    <t>TIBOR+spread loans refinanced 2025 + USD bonds swapped (Tanshin)</t>
  </si>
  <si>
    <t>Marginal tax rate</t>
  </si>
  <si>
    <t>Japan effective statutory rate post-FY2025 reform (est.)</t>
  </si>
  <si>
    <t>After-tax cost of debt</t>
  </si>
  <si>
    <t>Debt weight (market values)</t>
  </si>
  <si>
    <t>WACC (base)</t>
  </si>
  <si>
    <t>Base WACC ≈ cost of equity since market-value debt weight is only ~2% (¥45tn equity vs ¥1tn debt, moving to net cash)</t>
  </si>
  <si>
    <t>NAND INDUSTRY ASSUMPTIONS (BASE CASE)  — fiscal-year basis</t>
  </si>
  <si>
    <t>Industry bit demand growth (YoY)</t>
  </si>
  <si>
    <t>Industry bit supply growth (YoY)</t>
  </si>
  <si>
    <t>Base case uses FY-weighted analyst estimates: demand 22/23/21% and supply 18/21/23% in FY2026-28. Anchors: Kioxia/TechInsights 22% CY25-28 flash-bit CAGR and tightness through CY27; Micron ~20% CY26 NAND bit shipments; TrendForce says little 2026 new capacity and meaningful expansion unlikely until late-2027/2028. FY2028 supply catch-up is a forecast, not company guidance.</t>
  </si>
  <si>
    <t>EXPLICIT FX LEVELS — FX translation rows above are formula-driven from these USD/JPY paths</t>
  </si>
  <si>
    <t>Scenario / metric</t>
  </si>
  <si>
    <t>Bear USD/JPY level</t>
  </si>
  <si>
    <t>Analyst scenario; FY2025 average USD/JPY = 150</t>
  </si>
  <si>
    <t>Base USD/JPY level</t>
  </si>
  <si>
    <t>Anchored to gradual yen appreciation; FY2025 average USD/JPY = 150</t>
  </si>
  <si>
    <t>Bull USD/JPY level</t>
  </si>
  <si>
    <t>Persistent yen weakness; FY2025 average USD/JPY = 150</t>
  </si>
  <si>
    <t>NAND INDUSTRY BIT DEMAND / SUPPLY — ALL SCENARIOS, fiscal-year weighted</t>
  </si>
  <si>
    <t>Bear — industry bit demand growth</t>
  </si>
  <si>
    <t>Downside demand destruction / supply catch-up</t>
  </si>
  <si>
    <t>Bear — industry bit supply growth</t>
  </si>
  <si>
    <t>Faster node migration and utilisation normalisation</t>
  </si>
  <si>
    <t>Base — industry bit demand growth</t>
  </si>
  <si>
    <t>Kioxia/TechInsights and Micron demand anchors, FY-weighted</t>
  </si>
  <si>
    <t>Base — industry bit supply growth</t>
  </si>
  <si>
    <t>Supply discipline through FY27, catch-up thereafter</t>
  </si>
  <si>
    <t>Bull — industry bit demand growth</t>
  </si>
  <si>
    <t>AI storage / enterprise SSD exceeds current expectations</t>
  </si>
  <si>
    <t>Bull — industry bit supply growth</t>
  </si>
  <si>
    <t>Capacity additions remain delayed and supplier discipline persists</t>
  </si>
  <si>
    <t>COMPLETE BEAR / BASE / BULL ASSUMPTION MATRIX — model inputs and definitions</t>
  </si>
  <si>
    <t>Metric</t>
  </si>
  <si>
    <t>Scenario</t>
  </si>
  <si>
    <t>Definition / model treatment</t>
  </si>
  <si>
    <t>Primary evidence / rationale</t>
  </si>
  <si>
    <t>Industry bit demand growth</t>
  </si>
  <si>
    <t>Global NAND bit demand, FY-weighted</t>
  </si>
  <si>
    <t>Kioxia/TechInsights; Micron</t>
  </si>
  <si>
    <t>Industry bit supply growth</t>
  </si>
  <si>
    <t>Global NAND bit supply, FY-weighted</t>
  </si>
  <si>
    <t>Supplier capacity / node migration analysis</t>
  </si>
  <si>
    <t>Kioxia bit shipment growth</t>
  </si>
  <si>
    <t>Company-specific bit shipment; not industry demand</t>
  </si>
  <si>
    <t>Industry demand + share + qualification / capacity</t>
  </si>
  <si>
    <t>Constant-mix NAND price/bit growth, USD</t>
  </si>
  <si>
    <t>Underlying USD NAND price, excluding mix and FX</t>
  </si>
  <si>
    <t>Kioxia ASP disclosure; TrendForce pricing</t>
  </si>
  <si>
    <t>Product-mix impact</t>
  </si>
  <si>
    <t>Enterprise SSD / high-capacity / managed-product mix</t>
  </si>
  <si>
    <t>Kioxia data-center mix target</t>
  </si>
  <si>
    <t>USD/JPY level</t>
  </si>
  <si>
    <t>Annual average USD/JPY</t>
  </si>
  <si>
    <t>Macro scenario</t>
  </si>
  <si>
    <t>FX translation impact</t>
  </si>
  <si>
    <t>Annual revenue translation factor; derived from USD/JPY path</t>
  </si>
  <si>
    <t>Formula-driven</t>
  </si>
  <si>
    <t>IFRS operating profit + D&amp;A, divided by revenue</t>
  </si>
  <si>
    <t>Calibrated to company Q1 guide / Street range</t>
  </si>
  <si>
    <t>SG&amp;A incl. R&amp;D, % revenue</t>
  </si>
  <si>
    <t>Presentation / operating-cost assumption</t>
  </si>
  <si>
    <t>Scale benefit then normalisation</t>
  </si>
  <si>
    <t>Gross capex, JPY bn</t>
  </si>
  <si>
    <t>Cash capex before subsidy</t>
  </si>
  <si>
    <t>Company FY26 and FY26-28 plan</t>
  </si>
  <si>
    <t>Government subsidy, JPY bn</t>
  </si>
  <si>
    <t>Cash subsidy receipts offsetting capex</t>
  </si>
  <si>
    <t>Approved support; timing is analyst estimate</t>
  </si>
  <si>
    <t>Net working capital, % revenue</t>
  </si>
  <si>
    <t>AR + inventory - AP as % revenue</t>
  </si>
  <si>
    <t>Normalised to quarter-end run-rate, not annual spike revenue</t>
  </si>
  <si>
    <t>Cash taxes / pre-tax cash earnings</t>
  </si>
  <si>
    <t>Tax attributes and normalisation</t>
  </si>
  <si>
    <t>CORE SOURCES FOR REVISED ASSUMPTIONS</t>
  </si>
  <si>
    <t>Kioxia FY2025 results / FY2026 Q1 guidance</t>
  </si>
  <si>
    <t>https://ssl4.eir-parts.net/doc/285A/ir_material_for_fiscal_ym4/203905/00.pdf</t>
  </si>
  <si>
    <t>Kioxia Investor Day 2026</t>
  </si>
  <si>
    <t>https://www.kioxia-holdings.com/content/dam/kioxia-hd/en-jp/ir/library/event/asset/Kioxia-Investor-Day-2026-en.pdf</t>
  </si>
  <si>
    <t>Micron earnings / NAND industry outlook</t>
  </si>
  <si>
    <t>https://investors.micron.com/</t>
  </si>
  <si>
    <t>TrendForce NAND pricing outlook</t>
  </si>
  <si>
    <t>https://www.trendforce.com/presscenter/</t>
  </si>
  <si>
    <t>IFIS analyst consensus</t>
  </si>
  <si>
    <t>https://kabuyoho.jp/sp/reportAnalyst?bcode=285A</t>
  </si>
  <si>
    <t>MUFG FX outlook</t>
  </si>
  <si>
    <t>https://www.mufgresearch.com/fx/</t>
  </si>
  <si>
    <t>IFIS / KABUYOHO CONSENSUS RECONCILIATION (FYE Mar-2027 = model FY2026E)</t>
  </si>
  <si>
    <t>Consensus</t>
  </si>
  <si>
    <t>Model Base</t>
  </si>
  <si>
    <t>Gap</t>
  </si>
  <si>
    <t>Net income (JPY bn)</t>
  </si>
  <si>
    <t>Operating margin</t>
  </si>
  <si>
    <t>Consensus source: IFIS Kabuyoho Pro (kabuyoho.jp/reportAnalyst?bcode=285A), accessed 13-Jun-2026. NOTE: consensus recurring profit rose ¥5,573bn (4wk ago) → ¥6,646bn (1wk ago) → ¥7,148bn (now), +28% in one month — a fast-rising, unstable anchor. The company gives NO full-year guidance (quarterly only); consensus = annualised Q1 guidance + assumed further hikes. Beyond FY2026E there is NO published consensus.</t>
  </si>
  <si>
    <t>Sell-side: IFIS rating 5.00/5 (max bullish); consensus 12M target ¥104,056 (+28% vs ¥81,200). Predicted-PER shown as "n/a" because no full-year company EPS guidance exists.</t>
  </si>
  <si>
    <t>ANALYST VERDICT ON CONSERVATISM: FY2026E is now consensus-aligned (was -3/-4%). But the Base is NOT conservative beyond FY2026E: FY2027E already embeds +5% price &amp; +24% bit (revenue +32% to ¥11.9tn, no consensus exists there), and mid-cycle EBITDA margin ~40% (FY2029-32E) is OPTIMISTIC vs NAND history (prior troughs 25-30%; Kioxia posted operating LOSSES in FY2023). The valuation swing factor is margin durability, not FY2026E.</t>
  </si>
  <si>
    <t>Sheet 4 of 20</t>
  </si>
  <si>
    <t>Historical Financial Statements (IFRS)</t>
  </si>
  <si>
    <t>FY2023A</t>
  </si>
  <si>
    <t>FY2024A</t>
  </si>
  <si>
    <t>LTM</t>
  </si>
  <si>
    <t>FYE Mar-2024 / Mar-2025 / Mar-2026; LTM = FY2025 (Apr-2025 to Mar-2026)</t>
  </si>
  <si>
    <t>CONSOLIDATED INCOME STATEMENT (JPY bn)</t>
  </si>
  <si>
    <t>Revenue</t>
  </si>
  <si>
    <t xml:space="preserve">  SSD &amp; Storage</t>
  </si>
  <si>
    <t xml:space="preserve">  Smart Devices</t>
  </si>
  <si>
    <t xml:space="preserve">  Other (incl. JV-related sales to Sandisk)</t>
  </si>
  <si>
    <t>Cost of sales</t>
  </si>
  <si>
    <t>Gross profit (loss)</t>
  </si>
  <si>
    <t>Gross margin</t>
  </si>
  <si>
    <t>SG&amp;A expenses (incl. R&amp;D within SG&amp;A)</t>
  </si>
  <si>
    <t xml:space="preserve">  Total R&amp;D (within COGS + SG&amp;A)</t>
  </si>
  <si>
    <t>Other income / (expenses), net</t>
  </si>
  <si>
    <t>Operating profit (loss), IFRS</t>
  </si>
  <si>
    <t>Non-GAAP operating profit (loss)</t>
  </si>
  <si>
    <t>Depreciation &amp; amortisation</t>
  </si>
  <si>
    <t>EBITDA (IFRS OP + D&amp;A)</t>
  </si>
  <si>
    <t>Non-GAAP EBITDA</t>
  </si>
  <si>
    <t>Finance income</t>
  </si>
  <si>
    <t>Finance costs</t>
  </si>
  <si>
    <t>Share of equity-method profit</t>
  </si>
  <si>
    <t>Profit (loss) before tax</t>
  </si>
  <si>
    <t>Income tax expense (benefit)</t>
  </si>
  <si>
    <t>Effective tax rate</t>
  </si>
  <si>
    <t>Net profit (loss)</t>
  </si>
  <si>
    <t xml:space="preserve">  Attributable to owners of parent</t>
  </si>
  <si>
    <t>Diluted EPS (JPY)</t>
  </si>
  <si>
    <t>Source: Kioxia consolidated financial results (Tanshin) FYE Mar-2025 and Mar-2026, IFRS; FY2025 supplemental data deck (15-May-2026). Non-GAAP = IFRS excl. PPA impact (¥1.0bn FY2025) and stock-based remuneration (¥4.7bn FY2025) — reconciliation per deck p.31-34.</t>
  </si>
  <si>
    <t>CONSOLIDATED BALANCE SHEET (JPY bn)</t>
  </si>
  <si>
    <t>Cash and cash equivalents</t>
  </si>
  <si>
    <t>Trade and other receivables</t>
  </si>
  <si>
    <t>Inventories</t>
  </si>
  <si>
    <t>Other current assets</t>
  </si>
  <si>
    <t>Property, plant and equipment</t>
  </si>
  <si>
    <t>Right-of-use assets</t>
  </si>
  <si>
    <t>Goodwill &amp; intangibles</t>
  </si>
  <si>
    <t>Investments (equity method) &amp; JV-related</t>
  </si>
  <si>
    <t>Other financial / non-current assets</t>
  </si>
  <si>
    <t>Deferred tax assets</t>
  </si>
  <si>
    <t>Total assets</t>
  </si>
  <si>
    <t>Trade and other payables</t>
  </si>
  <si>
    <t>Bonds and borrowings</t>
  </si>
  <si>
    <t>Lease liabilities</t>
  </si>
  <si>
    <t>Preferred shares (other financial liabilities)</t>
  </si>
  <si>
    <t>Retirement benefit liability</t>
  </si>
  <si>
    <t>Other liabilities</t>
  </si>
  <si>
    <t>Total liabilities</t>
  </si>
  <si>
    <t>Equity attributable to owners of parent</t>
  </si>
  <si>
    <t>Non-controlling interests</t>
  </si>
  <si>
    <t>Total equity</t>
  </si>
  <si>
    <t>Net debt (bonds &amp; borrowings less cash)</t>
  </si>
  <si>
    <t>Net debt / Non-GAAP EBITDA</t>
  </si>
  <si>
    <t>Equity ratio (owners of parent)</t>
  </si>
  <si>
    <t>FY2023 column = balance sheet as of 31-Mar-2024 (FY2024 Tanshin comparative). "Other" lines aggregate residual reported captions so totals tie to filings. Preferred shares (¥321.3bn) repurchased and cancelled 25-Jul-2025.</t>
  </si>
  <si>
    <t>CONSOLIDATED CASH FLOW STATEMENT (JPY bn)</t>
  </si>
  <si>
    <t>Cash flow from operations</t>
  </si>
  <si>
    <t xml:space="preserve">  o/w depreciation &amp; amortisation</t>
  </si>
  <si>
    <t xml:space="preserve">  o/w change in working capital</t>
  </si>
  <si>
    <t xml:space="preserve">  o/w cash taxes paid</t>
  </si>
  <si>
    <t>Purchase of PP&amp;E (cash flow statement)</t>
  </si>
  <si>
    <t>Management capex (incl. intangibles, deck basis)</t>
  </si>
  <si>
    <t>Proceeds from government grants</t>
  </si>
  <si>
    <t>Net capex (deck basis: capex less disposals &amp; grants)</t>
  </si>
  <si>
    <t>Free cash flow (CFO + CFI)</t>
  </si>
  <si>
    <t>Debt issuance (LT borrowings + bonds)</t>
  </si>
  <si>
    <t>Debt repayment (incl. ST net change)</t>
  </si>
  <si>
    <t>Lease payments</t>
  </si>
  <si>
    <t>Preferred share redemption</t>
  </si>
  <si>
    <t>Equity issuance</t>
  </si>
  <si>
    <t>Net financing cash flow</t>
  </si>
  <si>
    <t>Ending cash</t>
  </si>
  <si>
    <t>FY2023 capex/WC figures partially estimated from FY2024 Tanshin comparatives (flagged); "management capex" per supplemental deck differs from CF-statement PP&amp;E purchases by intangibles and timing of payables.</t>
  </si>
  <si>
    <t>HISTORICAL DRIVER ANALYSIS (QUALITATIVE DECOMPOSITION)</t>
  </si>
  <si>
    <t>FY2023 (Mar-24)</t>
  </si>
  <si>
    <t>Down-cycle trough: production cuts, ¥188.2bn under-utilisation costs, inventory write-downs; gross loss; ASPs trough 1H then recover.</t>
  </si>
  <si>
    <t>FY2024 (Mar-25)</t>
  </si>
  <si>
    <t>Recovery: ASPs significantly higher + bit growth + JPY depreciation (avg 153); BiCS8 ramp begins; SSD &amp; Storage +92% YoY.</t>
  </si>
  <si>
    <t>FY2025 (Mar-26)</t>
  </si>
  <si>
    <t>AI supercycle: ASPs surge on data-centre/enterprise SSD demand (Q4 blended ASP more than doubled QoQ, bits -10%); revenue +37%, IFRS OP +93%; Q4 adj. gross margin 70% ex-JV.</t>
  </si>
  <si>
    <t>Volume vs price</t>
  </si>
  <si>
    <t>FY2025 growth was overwhelmingly PRICE-led: company cites "significant increase in ASPs... partially offset by reduced bit shipment" in Q4.</t>
  </si>
  <si>
    <t>JV economics</t>
  </si>
  <si>
    <t>"Other" includes sales to Sandisk group through three manufacturing JVs (¥193.4bn FY2025, low margin); JV extended and converted to a compensation model in FY2025.</t>
  </si>
  <si>
    <t>Sheet 5 of 20</t>
  </si>
  <si>
    <t>Quarterly Financials — 8 Quarters</t>
  </si>
  <si>
    <t>FY24 Q1</t>
  </si>
  <si>
    <t>FY24 Q2</t>
  </si>
  <si>
    <t>FY24 Q3</t>
  </si>
  <si>
    <t>FY24 Q4</t>
  </si>
  <si>
    <t>FY25 Q1</t>
  </si>
  <si>
    <t>FY25 Q2</t>
  </si>
  <si>
    <t>FY25 Q3</t>
  </si>
  <si>
    <t>FY25 Q4</t>
  </si>
  <si>
    <t>QUARTERLY P&amp;L, CASH FLOW &amp; BALANCE-SHEET METRICS (JPY bn, Non-GAAP unless noted)</t>
  </si>
  <si>
    <t xml:space="preserve">  Other</t>
  </si>
  <si>
    <t>Adj. Non-GAAP gross profit (excl. R&amp;D in COGS)</t>
  </si>
  <si>
    <t>Non-GAAP operating profit</t>
  </si>
  <si>
    <t>Non-GAAP net income</t>
  </si>
  <si>
    <t>Non-GAAP basic EPS (JPY)</t>
  </si>
  <si>
    <t>Capex (gross)</t>
  </si>
  <si>
    <t>Net capex</t>
  </si>
  <si>
    <t>Operating cash flow</t>
  </si>
  <si>
    <t>Free cash flow</t>
  </si>
  <si>
    <t>Days of inventory (Non-GAAP COGS)</t>
  </si>
  <si>
    <t>Net debt (swap-adjusted)</t>
  </si>
  <si>
    <t>Cash &amp; equivalents</t>
  </si>
  <si>
    <t>USD/JPY (avg)</t>
  </si>
  <si>
    <t>Revenue growth QoQ</t>
  </si>
  <si>
    <t>Revenue growth YoY</t>
  </si>
  <si>
    <t>Gross margin (adj., % of revenue)</t>
  </si>
  <si>
    <t>Non-GAAP OP margin</t>
  </si>
  <si>
    <t>Non-GAAP EBITDA margin</t>
  </si>
  <si>
    <t>Net debt / annualised NG EBITDA</t>
  </si>
  <si>
    <t>Source: FY2025 results presentation supplemental data (p.25-30), 15-May-2026. Non-GAAP per company reconciliation (PPA, stock-comp).</t>
  </si>
  <si>
    <t>Bit/ASP disclosure (qualitative): FY25 Q4 blended USD ASP "more than doubled" QoQ; bit shipments down ~10% QoQ (planned maintenance &amp; Q3 inventory sale). FY25 Q3 bit decline reflects planned equipment maintenance.</t>
  </si>
  <si>
    <t>Flagged quarters: FY24 Q4 — one-time property-tax charge &amp; ASP decline; FY25 Q1 — yen appreciation (avg 145); FY25 Q4 — record ASP surge; no material impairments in window.</t>
  </si>
  <si>
    <t>Sheet 6 of 20</t>
  </si>
  <si>
    <t>NAND Flash Market — Demand, Supply, Pricing</t>
  </si>
  <si>
    <t>INDUSTRY REVENUE &amp; PRICING (CY basis)</t>
  </si>
  <si>
    <t>CY2023</t>
  </si>
  <si>
    <t>CY2024</t>
  </si>
  <si>
    <t>CY2025</t>
  </si>
  <si>
    <t>CY2026E</t>
  </si>
  <si>
    <t>CY2027E</t>
  </si>
  <si>
    <t>NAND industry revenue (USD bn)</t>
  </si>
  <si>
    <t>TrendForce: 2026E $147.3bn, +112% YoY (22-Jan-2026); CY23/24 analyst est. from public TrendForce releases</t>
  </si>
  <si>
    <t>YoY growth</t>
  </si>
  <si>
    <t>Contract price momentum (QoQ, company/TF)</t>
  </si>
  <si>
    <t>-</t>
  </si>
  <si>
    <t>+5-10% (4Q25)</t>
  </si>
  <si>
    <t>+33-38% (1Q26); +70-75% (2Q26)</t>
  </si>
  <si>
    <t>rising</t>
  </si>
  <si>
    <t>TrendForce pricing surveys 5-Jan-2026 &amp; 31-Mar-2026</t>
  </si>
  <si>
    <t>Industry inventory conditions</t>
  </si>
  <si>
    <t>high</t>
  </si>
  <si>
    <t>normalising</t>
  </si>
  <si>
    <t>depleted</t>
  </si>
  <si>
    <t>supplier inventory near depletion</t>
  </si>
  <si>
    <t>tight</t>
  </si>
  <si>
    <t>TrendForce, Jan-2026</t>
  </si>
  <si>
    <t>NAND BIT DEMAND BY APPLICATION  (analyst estimates triangulated from TrendForce / company disclosure)</t>
  </si>
  <si>
    <t>Share of bits CY2025E</t>
  </si>
  <si>
    <t>Share of bits CY2028E</t>
  </si>
  <si>
    <t>Bit CAGR 25-28E</t>
  </si>
  <si>
    <t>Relevance to Kioxia</t>
  </si>
  <si>
    <t>Margin character</t>
  </si>
  <si>
    <t>Enterprise SSD (incl. AI/hyperscaler)</t>
  </si>
  <si>
    <t>High (d/e SSD record share)</t>
  </si>
  <si>
    <t>Highest</t>
  </si>
  <si>
    <t>General-purpose servers</t>
  </si>
  <si>
    <t>Medium</t>
  </si>
  <si>
    <t>High</t>
  </si>
  <si>
    <t>Client SSD (notebook/desktop PC)</t>
  </si>
  <si>
    <t>Mid</t>
  </si>
  <si>
    <t>Smartphone (UFS/eMMC)</t>
  </si>
  <si>
    <t>High (Smart Devices)</t>
  </si>
  <si>
    <t>Tablet / consumer / gaming</t>
  </si>
  <si>
    <t>Low-mid</t>
  </si>
  <si>
    <t>Automotive / industrial</t>
  </si>
  <si>
    <t>Medium (UFS auto)</t>
  </si>
  <si>
    <t>Retail cards / USB / other</t>
  </si>
  <si>
    <t>Low (Other segment)</t>
  </si>
  <si>
    <t>Low</t>
  </si>
  <si>
    <t>Total (check = 100%)</t>
  </si>
  <si>
    <t>Framework: Application bit demand = unit shipments × NAND content per unit. Enterprise SSD becomes the LARGEST segment in 2026 (TrendForce, 5-Jan-2026) on AI-inference storage, KV-cache offload and NL-HDD substitution; consumer/retail share shrinks under price pressure. Shares are analyst estimates (Tier-2-derived), not vendor-published splits.</t>
  </si>
  <si>
    <t>NAND SUPPLY BY MANUFACTURER  (CY2025 bit share, analyst estimates from TrendForce/Morningstar)</t>
  </si>
  <si>
    <t>Bit share CY2025E</t>
  </si>
  <si>
    <t>Supply bit growth CY2026E</t>
  </si>
  <si>
    <t>CY2026 capex direction</t>
  </si>
  <si>
    <t>Technology node</t>
  </si>
  <si>
    <t>Notes</t>
  </si>
  <si>
    <t>Samsung Electronics</t>
  </si>
  <si>
    <t>Reduce/limit NAND; shift to HBM/DRAM</t>
  </si>
  <si>
    <t>V9 (286L)</t>
  </si>
  <si>
    <t>Largest supplier; HBM priority constrains NAND adds</t>
  </si>
  <si>
    <t>SK hynix + Solidigm</t>
  </si>
  <si>
    <t>Limit NAND; HBM priority</t>
  </si>
  <si>
    <t>238L/321L</t>
  </si>
  <si>
    <t>#2 after Intel NAND deal; Solidigm QLC strength</t>
  </si>
  <si>
    <t>Kioxia</t>
  </si>
  <si>
    <t>+41% YoY to ~$4.5bn (w/ SanDisk JV)</t>
  </si>
  <si>
    <t>BiCS8 218L → BiCS10</t>
  </si>
  <si>
    <t>Most assertive expansion (TrendForce, 13-Nov-2025); K2 Kitakami ramping</t>
  </si>
  <si>
    <t>SanDisk</t>
  </si>
  <si>
    <t>Joint with Kioxia (Flash Ventures)</t>
  </si>
  <si>
    <t>BiCS8</t>
  </si>
  <si>
    <t>JV partner; fab/wafer output shared</t>
  </si>
  <si>
    <t>Micron</t>
  </si>
  <si>
    <t>+63% YoY; G9 + eSSD focus</t>
  </si>
  <si>
    <t>G9 (276L)</t>
  </si>
  <si>
    <t>ID1 US fab not before 2027</t>
  </si>
  <si>
    <t>YMTC</t>
  </si>
  <si>
    <t>Aggressive domestic expansion</t>
  </si>
  <si>
    <t>X4 (294L)</t>
  </si>
  <si>
    <t>China share gains; export-control exposure</t>
  </si>
  <si>
    <t>Others</t>
  </si>
  <si>
    <t>Total</t>
  </si>
  <si>
    <t>MARKET BALANCE — DEMAND vs SUPPLY (fiscal years, base case; links to Assumptions)</t>
  </si>
  <si>
    <t>Demand less supply (pp)</t>
  </si>
  <si>
    <t>Pricing implication</t>
  </si>
  <si>
    <t>shortage / sharp ↑</t>
  </si>
  <si>
    <t>shortage / ↑</t>
  </si>
  <si>
    <t>surplus risk / ↓</t>
  </si>
  <si>
    <t>correction</t>
  </si>
  <si>
    <t>stabilising</t>
  </si>
  <si>
    <t>balanced</t>
  </si>
  <si>
    <t>Key principle: industry bit demand growth does NOT translate 1:1 into revenue growth — ASP per bit typically declines over time as cost-per-bit falls; FY2026-27 is an exceptional shortage-pricing window.</t>
  </si>
  <si>
    <t>Sheet 7 of 20</t>
  </si>
  <si>
    <t>Revenue Build — Driver-Based Forecast</t>
  </si>
  <si>
    <t>Revenue bridge: Prior-year revenue × (1 + Kioxia bit shipment growth) × (1 + constant-mix NAND price/bit growth, USD) × (1 + product-mix impact) × (1 + FX translation impact)</t>
  </si>
  <si>
    <t>Prior-year revenue (JPY bn)</t>
  </si>
  <si>
    <t>× (1 + Kioxia bit shipment growth)</t>
  </si>
  <si>
    <t>Constant-mix NAND price per bit change, USD</t>
  </si>
  <si>
    <t>× (1 + product-mix impact)</t>
  </si>
  <si>
    <t>× (1 + FX translation impact)</t>
  </si>
  <si>
    <t>Forecast revenue (JPY bn)</t>
  </si>
  <si>
    <t xml:space="preserve">   Revenue growth YoY</t>
  </si>
  <si>
    <t>GROWTH CONTRIBUTION DECOMPOSITION (JPY bn)</t>
  </si>
  <si>
    <t>Volume (bit) contribution</t>
  </si>
  <si>
    <t>Price (ASP) contribution</t>
  </si>
  <si>
    <t>Mix contribution</t>
  </si>
  <si>
    <t>FX contribution</t>
  </si>
  <si>
    <t>Total change (reconciles to revenue bridge)</t>
  </si>
  <si>
    <t>Check: total change = revenue less prior</t>
  </si>
  <si>
    <t>MARKET SHARE CONTEXT</t>
  </si>
  <si>
    <t>Implied bit-share change vs industry supply</t>
  </si>
  <si>
    <t>Kioxia NAND bit share (est.)</t>
  </si>
  <si>
    <t>Anchor: ~14-16% CY2024-25 (Morningstar/TrendForce); Kioxia guides bit growth "at least in line with market"</t>
  </si>
  <si>
    <t>Method 2 adopted for transparency. The price row is now constant-mix NAND price/bit, not blended ASP. Blended ASP growth = (1 + constant-mix price growth) × (1 + product-mix impact) − 1. Product mix is therefore not double-counted. FX is applied separately after USD ASP.</t>
  </si>
  <si>
    <t>Sheet 8 of 20</t>
  </si>
  <si>
    <t>Operating Model — FY2023A-FY2032E</t>
  </si>
  <si>
    <t>CONSOLIDATED P&amp;L (IFRS BASIS, JPY bn)  —  grey = reported, blue = forecast (scenario-driven)</t>
  </si>
  <si>
    <t xml:space="preserve">  Revenue growth YoY</t>
  </si>
  <si>
    <t>Gross profit</t>
  </si>
  <si>
    <t xml:space="preserve">  Gross margin</t>
  </si>
  <si>
    <t>SG&amp;A expenses</t>
  </si>
  <si>
    <t>Operating profit (IFRS)</t>
  </si>
  <si>
    <t xml:space="preserve">  Operating margin</t>
  </si>
  <si>
    <t>EBITDA (OP + D&amp;A)</t>
  </si>
  <si>
    <t xml:space="preserve">  EBITDA margin</t>
  </si>
  <si>
    <t>Equity-method income</t>
  </si>
  <si>
    <t>Profit before tax</t>
  </si>
  <si>
    <t>Income tax expense</t>
  </si>
  <si>
    <t xml:space="preserve">  Effective tax rate</t>
  </si>
  <si>
    <t>Net profit</t>
  </si>
  <si>
    <t xml:space="preserve">  Attributable to owners</t>
  </si>
  <si>
    <t>Forecast gross profit = operating profit + SG&amp;A (other income/expense assumed nil); finance income &amp; equity-method income are flat analyst inputs (blue). Margins normalise toward a defensible mid-cycle (~40% EBITDA, base) by FY2030 — neither peak FY2026-27 nor trough FY2028 margins are perpetuated.</t>
  </si>
  <si>
    <t>Forecast EPS uses current share counts (no buyback/issuance assumed); dividends begin FY2027 per company investor-day announcement (Jun-2026) but are not modelled as payout policy is undecided.</t>
  </si>
  <si>
    <t>Sheet 9 of 20</t>
  </si>
  <si>
    <t>Cash Flow Model — FCFF / FCFE, Debt &amp; Cash Roll-Forwards</t>
  </si>
  <si>
    <t>FREE CASH FLOW TO THE FIRM (JPY bn)</t>
  </si>
  <si>
    <t>EBIT (IFRS operating profit)</t>
  </si>
  <si>
    <t>NOPAT</t>
  </si>
  <si>
    <t>D&amp;A method: existing D&amp;A run-off + 14% of prior-year gross capex + 8% of current-year gross capex</t>
  </si>
  <si>
    <t>D&amp;A schedule: D&amp;A(t) = D&amp;A(t-1) × (1 - run-off) + Capex(t-1) × 16% + Capex(t) × 8% (rates on Assumptions); keeps long-run D&amp;A converging to capex.</t>
  </si>
  <si>
    <t>Gross capital expenditure</t>
  </si>
  <si>
    <t>Government subsidies received</t>
  </si>
  <si>
    <t>Net capital expenditure</t>
  </si>
  <si>
    <t>Net working capital level</t>
  </si>
  <si>
    <t>Change in net working capital</t>
  </si>
  <si>
    <t>FCFF</t>
  </si>
  <si>
    <t xml:space="preserve">  FCFF margin</t>
  </si>
  <si>
    <t>DEBT ROLL-FORWARD (bonds &amp; borrowings, JPY bn)</t>
  </si>
  <si>
    <t>Opening debt</t>
  </si>
  <si>
    <t>Repayments</t>
  </si>
  <si>
    <t>Issuance</t>
  </si>
  <si>
    <t>Closing debt</t>
  </si>
  <si>
    <t>Interest expense (incl. lease interest est.)</t>
  </si>
  <si>
    <t>FY2026 repayment = ¥127.5bn (27-Apr-2026) + ¥400bn senior loan early repayment in Q1 (subsequent-events note &amp; FY2026 priorities, results deck p.22); thereafter analyst schedule. USD bonds (¥326.7bn) remain outstanding.</t>
  </si>
  <si>
    <t>FCFE, CASH &amp; NET DEBT ROLL-FORWARDS (JPY bn)</t>
  </si>
  <si>
    <t>FCFE (FCFF - after-tax interest - net debt repayment)</t>
  </si>
  <si>
    <t>Opening cash</t>
  </si>
  <si>
    <t>Closing cash (opening + FCFE, approx.)</t>
  </si>
  <si>
    <t>Net debt (closing debt - closing cash)</t>
  </si>
  <si>
    <t>No dividends/buybacks modelled (policy undecided; dividends to start FY2027 per investor day) — cash accumulates; finance income on the growing cash pile is held flat (conservative). Net cash position from FY2026E is consistent with company guidance of net cash by end of FY2026 Q1.</t>
  </si>
  <si>
    <t>Capex split (base): maintenance ~¥150bn, technology migration (BiCS8→10) ~¥200-350bn, capacity expansion (K2/Yokkaichi, from FY2027) ~¥100-350bn, JV-related included pro-rata; gross ¥450bn FY2026 per company guidance.</t>
  </si>
  <si>
    <t>Sheet 10 of 20</t>
  </si>
  <si>
    <t>Scenario Analysis — Bear / Base / Bull (parallel computation)</t>
  </si>
  <si>
    <t>BEAR CASE  —  drivers from Assumptions rows 31-39; WACC/terminal scalars column C</t>
  </si>
  <si>
    <t>PV of explicit FCFF</t>
  </si>
  <si>
    <t>EBITDA</t>
  </si>
  <si>
    <t>Terminal value — Gordon</t>
  </si>
  <si>
    <t>Gross capex</t>
  </si>
  <si>
    <t>Terminal value — Exit multiple</t>
  </si>
  <si>
    <t>Subsidies</t>
  </si>
  <si>
    <t>PV of terminal value (avg of methods)</t>
  </si>
  <si>
    <t>D&amp;A</t>
  </si>
  <si>
    <t>Enterprise value</t>
  </si>
  <si>
    <t>EBIT</t>
  </si>
  <si>
    <t>Equity value (EV - net debt - leases - NCI - pension)</t>
  </si>
  <si>
    <t>DCF value per share (JPY)</t>
  </si>
  <si>
    <t>NWC level</t>
  </si>
  <si>
    <t>TV as % of EV</t>
  </si>
  <si>
    <t>Change in NWC</t>
  </si>
  <si>
    <t>Discount factor</t>
  </si>
  <si>
    <t>PV of FCFF</t>
  </si>
  <si>
    <t>BASE CASE  —  drivers from Assumptions rows 43-51; WACC/terminal scalars column D</t>
  </si>
  <si>
    <t>BULL CASE  —  drivers from Assumptions rows 55-63; WACC/terminal scalars column E</t>
  </si>
  <si>
    <t>SCENARIO SUMMARY &amp; PROBABILITY-WEIGHTED VALUE</t>
  </si>
  <si>
    <t>Probability</t>
  </si>
  <si>
    <t>DCF value / share</t>
  </si>
  <si>
    <t>FY2027E revenue</t>
  </si>
  <si>
    <t>FY2027E EBITDA</t>
  </si>
  <si>
    <t>FY2032E EBITDA</t>
  </si>
  <si>
    <t>Upside vs ¥81,200</t>
  </si>
  <si>
    <t>Parallel computation: each scenario is fully formula-driven from its own assumption block so all three values update live regardless of the selector position. The selector-driven main model (Operating/Cash Flow/DCF sheets) matches the corresponding block here when the selector is set to that scenario.</t>
  </si>
  <si>
    <t>Sheet 11 of 20</t>
  </si>
  <si>
    <t>DCF Valuation — FCFF (Active Scenario)</t>
  </si>
  <si>
    <t>PRESENT VALUE OF EXPLICIT FCFF  —  WACC/terminal scalars switch with the scenario selector</t>
  </si>
  <si>
    <t>FCFF (from Cash Flow Model)</t>
  </si>
  <si>
    <t>Discount period (year-end convention)</t>
  </si>
  <si>
    <t>Sum of PV of explicit FCFF</t>
  </si>
  <si>
    <t>TERMINAL VALUE — METHOD 1: GORDON GROWTH</t>
  </si>
  <si>
    <t>Terminal-year FCFF (FY2032E)</t>
  </si>
  <si>
    <t>Terminal growth rate (g)</t>
  </si>
  <si>
    <t>WACC (active scenario)</t>
  </si>
  <si>
    <t>Terminal value = FCFF × (1+g) / (WACC - g)</t>
  </si>
  <si>
    <t>PV of terminal value</t>
  </si>
  <si>
    <t>TERMINAL VALUE — METHOD 2: EXIT EV/EBITDA (mid-cycle)</t>
  </si>
  <si>
    <t>Terminal-year EBITDA (FY2032E, mid-cycle margin)</t>
  </si>
  <si>
    <t>Exit EV / EBITDA multiple</t>
  </si>
  <si>
    <t>Terminal value</t>
  </si>
  <si>
    <t>Terminal EBITDA uses the FY2032E mid-cycle margin (40% base) — deliberately well below the FY2026-27 peak (68-81%) and at the FY2029-30 mid-cycle floor (39%); exit multiple of 6.0x (base) reflects the historical memory mid-cycle range of ~5-9x EV/EBITDA.</t>
  </si>
  <si>
    <t>ENTERPRISE VALUE → EQUITY VALUE BRIDGE (JPY bn)</t>
  </si>
  <si>
    <t>PV of terminal value (average of two methods)</t>
  </si>
  <si>
    <t>Less: net debt (bonds &amp; borrowings - cash)</t>
  </si>
  <si>
    <t>Less: lease liabilities</t>
  </si>
  <si>
    <t>Less: non-controlling interests</t>
  </si>
  <si>
    <t>Less: retirement benefit liability</t>
  </si>
  <si>
    <t>Equity value</t>
  </si>
  <si>
    <t>DCF fair value per share (JPY)</t>
  </si>
  <si>
    <t>Terminal value as % of enterprise value</t>
  </si>
  <si>
    <t xml:space="preserve">   Flag if TV &gt; 75% of EV</t>
  </si>
  <si>
    <t>Upside / (downside) vs current price</t>
  </si>
  <si>
    <t>DCF VALUE BY SCENARIO (live, from Scenario Analysis parallel blocks)</t>
  </si>
  <si>
    <t>Probability-weighted</t>
  </si>
  <si>
    <t>Currency consistency: nominal JPY FCFF discounted at a nominal JPY WACC (JGB risk-free base) — no USD rates mixed in.</t>
  </si>
  <si>
    <t>Sheet 12 of 20</t>
  </si>
  <si>
    <t>DCF Sensitivity Analysis (direct-formula matrices)</t>
  </si>
  <si>
    <t>SENSITIVITY 1 — FAIR VALUE PER SHARE (JPY):  WACC vs TERMINAL GROWTH  (Gordon TV, active-scenario FCFF)</t>
  </si>
  <si>
    <t>WACC  ↓   |   Terminal growth g  →</t>
  </si>
  <si>
    <t>SENSITIVITY 2 — FAIR VALUE PER SHARE (JPY):  MID-CYCLE EBITDA MARGIN vs REVENUE CAGR FY25-32  (mini-DCF, base WACC, base exit multiple)</t>
  </si>
  <si>
    <t>Mid-cycle EBITDA margin  ↓   |   Revenue CAGR  →</t>
  </si>
  <si>
    <t>SENSITIVITY 3 — FY2027E EBITDA (JPY bn):  COST-PER-BIT CHANGE (rows) vs ASP-PER-BIT CHANGE (cols), off FY2026E base</t>
  </si>
  <si>
    <t>Cost per bit change  ↓   |   ASP per bit change  →</t>
  </si>
  <si>
    <t>All three matrices are direct-formula (no Excel Data Tables, no macros) so they recalculate in any environment; colour scale: muted red (low) → amber (mid) → muted green (high).</t>
  </si>
  <si>
    <t>S3 treats 90% of FY2026E cash costs as variable with bits &amp; cost-per-bit and 10% as fixed; SG&amp;A embedded in the cash-cost base.</t>
  </si>
  <si>
    <t>Discount-period helper row used by SUMPRODUCT in the matrices</t>
  </si>
  <si>
    <t>FCF conversion of EBITDA (S2 mini-DCF)</t>
  </si>
  <si>
    <t>FY2027E bit growth (S3)</t>
  </si>
  <si>
    <t>Variable share of FY2026E cash costs (S3)</t>
  </si>
  <si>
    <t>Sheet 13 of 20</t>
  </si>
  <si>
    <t>Comparable Companies</t>
  </si>
  <si>
    <t>PEER MARKET DATA (prices 11/12-Jun-2026; financials latest reported TTM)</t>
  </si>
  <si>
    <t>Ticker</t>
  </si>
  <si>
    <t>Price (lcl)</t>
  </si>
  <si>
    <t>Ccy</t>
  </si>
  <si>
    <t>Shares (M)</t>
  </si>
  <si>
    <t>Mkt cap (lcl bn)</t>
  </si>
  <si>
    <t>Net debt (lcl bn)</t>
  </si>
  <si>
    <t>EV (lcl bn)</t>
  </si>
  <si>
    <t>TTM revenue</t>
  </si>
  <si>
    <t>TTM net income</t>
  </si>
  <si>
    <t>TTM EPS</t>
  </si>
  <si>
    <t>P/E (TTM)</t>
  </si>
  <si>
    <t>NAND exposure</t>
  </si>
  <si>
    <t>Micron Technology</t>
  </si>
  <si>
    <t>MU US</t>
  </si>
  <si>
    <t>USD</t>
  </si>
  <si>
    <t>n/d</t>
  </si>
  <si>
    <t>~25% rev</t>
  </si>
  <si>
    <t>Price Investing.com 12-Jun; shares/EPS analyst est. (TTM P/E ~17x at Apr px implies EPS ~$57 after FQ2 +196% YoY); DRAM/HBM dominant</t>
  </si>
  <si>
    <t>005930 KS</t>
  </si>
  <si>
    <t>KRW</t>
  </si>
  <si>
    <t>~10% rev</t>
  </si>
  <si>
    <t>Close 12-Jun (Investing.com); TTM EPS 12,462 (Investing); conglomerate: DRAM/HBM/foundry/mobile/CE</t>
  </si>
  <si>
    <t>SK hynix</t>
  </si>
  <si>
    <t>000660 KS</t>
  </si>
  <si>
    <t>~30-35% rev</t>
  </si>
  <si>
    <t>Px 11-Jun (Google Finance); TTM rev $92.6bn to Mar-26 (PitchBook); DRAM/HBM leader; Solidigm NAND</t>
  </si>
  <si>
    <t>SNDK US</t>
  </si>
  <si>
    <t>~100%</t>
  </si>
  <si>
    <t>Close 12-Jun, mkt cap $291.4bn, TTM EPS $29.71 (Investing.com); pure-play NAND; Kioxia JV partner</t>
  </si>
  <si>
    <t>Kioxia Holdings</t>
  </si>
  <si>
    <t>285A JP</t>
  </si>
  <si>
    <t>JPY</t>
  </si>
  <si>
    <t>Close 12-Jun (Nikkei); FY2025 IFRS actuals; 3rd-largest NAND supplier</t>
  </si>
  <si>
    <t>"n/d" = not publicly verified at the valuation date; left blank rather than fabricated. Mkt cap in local currency bn = price × shares / 1,000.</t>
  </si>
  <si>
    <t>PEER-ADJUSTMENT LOGIC (mandatory before applying multiples to Kioxia)</t>
  </si>
  <si>
    <t>Samsung / SK hynix conglomerate adjustment</t>
  </si>
  <si>
    <t>Both derive the majority of value from DRAM/HBM (plus foundry, mobile, CE for Samsung). Their consolidated multiples are NOT applied to Kioxia directly; a NAND-segment / SOTP lens is required. Segment-level market valuations are not publicly disclosed — stated as a limitation.</t>
  </si>
  <si>
    <t>HBM premium</t>
  </si>
  <si>
    <t>SK hynix trades at an AI/HBM scarcity premium (mkt cap ~$1.0tn). Kioxia has NO direct HBM exposure (NAND producer; DRAM is procured, incl. via the Apr-2026 Nanya stake) — premium excluded.</t>
  </si>
  <si>
    <t>Closest comparable</t>
  </si>
  <si>
    <t>SanDisk: pure-play NAND, shares Kioxia's fabs via Flash Ventures JV — the most informative multiple anchor, though US listing/liquidity differ.</t>
  </si>
  <si>
    <t>Cycle adjustment</t>
  </si>
  <si>
    <t>TTM multiples capture a price-spike year; NTM multiples capture peak guidance; mid-cycle multiples on normalised EBITDA carry the most weight for a cyclical (see Multiples Valuation).</t>
  </si>
  <si>
    <t>Kioxia-specific discounts</t>
  </si>
  <si>
    <t>NAND concentration (no DRAM/HBM hedge), JV complexity, Bain/Toshiba residual overhang (large-shareholder ratio already reduced for Prime listing), shorter listing history.</t>
  </si>
  <si>
    <t>KIOXIA MULTIPLES AT CURRENT PRICE (¥81,200)</t>
  </si>
  <si>
    <t>EV / LTM EBITDA (IFRS FY2025)</t>
  </si>
  <si>
    <t>EV / NTM EBITDA (FY2026E, base)</t>
  </si>
  <si>
    <t>EV / FY2027E EBITDA</t>
  </si>
  <si>
    <t>EV / mid-cycle EBITDA (avg FY2030-32E)</t>
  </si>
  <si>
    <t>P / LTM EPS (basic)</t>
  </si>
  <si>
    <t>P / NTM EPS (FY2026E, base)</t>
  </si>
  <si>
    <t>P / normalised EPS (avg FY2030-32E)</t>
  </si>
  <si>
    <t>P / B (31-Mar-2026 equity)</t>
  </si>
  <si>
    <t>EV / LTM sales</t>
  </si>
  <si>
    <t>Do not conclude "cheap" from a low P/E in a peak year or "expensive" from a high P/E in a trough year — the LTM vs NTM vs mid-cycle spread above quantifies exactly this cycle distortion.</t>
  </si>
  <si>
    <t>Sheet 14 of 20</t>
  </si>
  <si>
    <t>Multiple-Based Valuation</t>
  </si>
  <si>
    <t>IMPLIED VALUE PER SHARE BY METHOD  (multiples are analyst inputs informed by peer set &amp; memory history)</t>
  </si>
  <si>
    <t>Kioxia metric (JPY bn)</t>
  </si>
  <si>
    <t>Low ×</t>
  </si>
  <si>
    <t>Base ×</t>
  </si>
  <si>
    <t>High ×</t>
  </si>
  <si>
    <t>Implied / share — Low</t>
  </si>
  <si>
    <t>NTM EV/EBITDA (FY2026E)</t>
  </si>
  <si>
    <t>FY+1 EV/EBITDA (FY2027E)</t>
  </si>
  <si>
    <t>Mid-cycle EV/EBITDA (avg FY2030-32E)</t>
  </si>
  <si>
    <t>NTM P/E (FY2026E EPS)</t>
  </si>
  <si>
    <t>Normalised P/E (avg FY2030-32E EPS)</t>
  </si>
  <si>
    <t>P/B (FY2026E book value)</t>
  </si>
  <si>
    <t>EV/Sales (mid-cycle, avg FY2030-32E)</t>
  </si>
  <si>
    <t>EV methods: implied EV less net debt, leases, NCI and pension (Total_Adj) to equity, divided by diluted shares. P/B uses FY2026E ending book (Mar-26 equity + FY2026E net income, no dividends).</t>
  </si>
  <si>
    <t>Multiple rationale: memory mid-cycle EV/EBITDA has historically cleared ~5-9x; NTM multiples held below SanDisk's implied spot multiple to reflect Kioxia's NAND concentration, no HBM, JV structure and shareholder overhang — partly offset by net-cash trajectory and Nikkei 225 / MSCI index inclusion.</t>
  </si>
  <si>
    <t>DISCOUNT / PREMIUM CONSIDERATIONS APPLIED</t>
  </si>
  <si>
    <t>Discounts</t>
  </si>
  <si>
    <t>NAND-only concentration; no direct HBM/DRAM production; capital intensity; JV governance complexity; residual Bain/Toshiba sell-down overhang; 18-month listing history.</t>
  </si>
  <si>
    <t>Premiums</t>
  </si>
  <si>
    <t>Technology position (BiCS8 leadership, BiCS10 launch FY2026); enterprise-SSD qualification wins; net cash from FY2026; LTAs with hyperscalers; domestic policy/subsidy support (¥56.4bn grants FY2025).</t>
  </si>
  <si>
    <t>FORWARD P/E ANALYSIS  —  Kioxia at ¥81,200 (active-scenario EPS path)</t>
  </si>
  <si>
    <t>Period</t>
  </si>
  <si>
    <t>P/E at ¥81,200</t>
  </si>
  <si>
    <t>FY2026E (NTM)</t>
  </si>
  <si>
    <t>FY2027E (FY+1)</t>
  </si>
  <si>
    <t>FY2028E (FY+2)</t>
  </si>
  <si>
    <t>Normalised (avg FY2030-32E)</t>
  </si>
  <si>
    <t>Forward P/E uses diluted EPS on the active scenario. At ¥81,200 the FY2026E P/E looks optically cheap (peak-year earnings); the FY2028E and normalised P/E reveal the true cycle multiple — the standard memory trap of a low peak-P/E / high trough-P/E.</t>
  </si>
  <si>
    <t>IMPLIED PRICE FROM FORWARD P/E (JPY/share)</t>
  </si>
  <si>
    <t>EPS basis ↓ / P/E →</t>
  </si>
  <si>
    <t>FY2026E EPS</t>
  </si>
  <si>
    <t>FY2027E EPS</t>
  </si>
  <si>
    <t>Normalised EPS</t>
  </si>
  <si>
    <t>Reference: a 12-15x multiple on normalised EPS frames mid-cycle fair value; applying a low multiple to peak FY2026-27 EPS or a high multiple to trough FY2028 EPS both mislead — hence the normalised row carries the signal.</t>
  </si>
  <si>
    <t>PEER FORWARD P/E CONTEXT</t>
  </si>
  <si>
    <t>Kioxia (285A)</t>
  </si>
  <si>
    <t>FY2026E P/E ~13-16x (peak), normalised ~12-15x — see grid above.</t>
  </si>
  <si>
    <t>Micron / SanDisk</t>
  </si>
  <si>
    <t>Trade on low-to-mid teens forward P/E into the up-cycle; pure-play NAND (SanDisk) the closest read.</t>
  </si>
  <si>
    <t>SK hynix / Samsung</t>
  </si>
  <si>
    <t>Forward P/E depressed by peak-cycle EPS + HBM/DRAM mix; not directly comparable to NAND-only Kioxia (n/d for clean NAND-segment forward EPS).</t>
  </si>
  <si>
    <t>Sheet 15 of 20</t>
  </si>
  <si>
    <t>Integrated Valuation Summary &amp; Football Field</t>
  </si>
  <si>
    <t>METHOD INTEGRATION  —  reliability-weighted (mid-cycle methods overweighted for a cyclical)</t>
  </si>
  <si>
    <t>Bear / Low</t>
  </si>
  <si>
    <t>Bull / High</t>
  </si>
  <si>
    <t>Weight</t>
  </si>
  <si>
    <t>Weighted (base)</t>
  </si>
  <si>
    <t>DCF — Gordon &amp; exit blend (scenario set)</t>
  </si>
  <si>
    <t>Mid-cycle EV/EBITDA</t>
  </si>
  <si>
    <t>NTM P/E</t>
  </si>
  <si>
    <t>Normalised P/E</t>
  </si>
  <si>
    <t>P/B (FY2026E book)</t>
  </si>
  <si>
    <t>EV/Sales (mid-cycle)</t>
  </si>
  <si>
    <t>Weight check / Integrated weighted fair value</t>
  </si>
  <si>
    <t>Weighting logic: mid-cycle DCF + normalised EBITDA/EPS and P/B carry ~70%; one-year spot multiples (peak-cycle NTM) deliberately underweighted; unadjusted Samsung/SK hynix conglomerate multiples carry zero weight.</t>
  </si>
  <si>
    <t>DISTRIBUTION STATISTICS (across base-column method values) &amp; CONCLUSION</t>
  </si>
  <si>
    <t>Minimum</t>
  </si>
  <si>
    <t>25th percentile</t>
  </si>
  <si>
    <t>Median</t>
  </si>
  <si>
    <t>Probability-weighted fair value (DCF scenarios)</t>
  </si>
  <si>
    <t>75th percentile</t>
  </si>
  <si>
    <t>Maximum</t>
  </si>
  <si>
    <t>FOOTBALL FIELD DATA (low / span for stacked-bar chart)</t>
  </si>
  <si>
    <t>Sheet 16 of 20</t>
  </si>
  <si>
    <t>12-Month Share-Price Probability Distribution</t>
  </si>
  <si>
    <t>FIVE PRICE SCENARIOS — 12 MONTHS (to Jun-2027)</t>
  </si>
  <si>
    <t>12M price (JPY)</t>
  </si>
  <si>
    <t>Total return</t>
  </si>
  <si>
    <t>Major operating assumption</t>
  </si>
  <si>
    <t>Major market assumption</t>
  </si>
  <si>
    <t>Implied EV/FY27E EBITDA</t>
  </si>
  <si>
    <t>Severe Bear</t>
  </si>
  <si>
    <t>FY27 guidance cut &gt;50%; ASP collapse from 2H FY2026</t>
  </si>
  <si>
    <t>NAND oversupply (YMTC + capacity restarts); AI capex digestion</t>
  </si>
  <si>
    <t>FY2027 earnings fall ~40% as contract prices roll over</t>
  </si>
  <si>
    <t>Multiple compression to ~6x NTM EBITDA; index-flow reversal</t>
  </si>
  <si>
    <t>FY2026 delivers ~¥5tn NG OP; FY2027 plateaus</t>
  </si>
  <si>
    <t>Market prices mid-cycle normalisation from FY2028</t>
  </si>
  <si>
    <t>LTAs lock pricing; FY2027 grows on capacity adds</t>
  </si>
  <si>
    <t>Shortage persists CY2027 (demand &gt; supply per company)</t>
  </si>
  <si>
    <t>Extreme Bull</t>
  </si>
  <si>
    <t>Margins hold &gt;60%; dividends + buyback announced</t>
  </si>
  <si>
    <t>US ADR listing / index flows; HBM-style re-rating of NAND</t>
  </si>
  <si>
    <t>Probability check</t>
  </si>
  <si>
    <t>Expected 12M share price</t>
  </si>
  <si>
    <t>Median scenario price</t>
  </si>
  <si>
    <t>25th percentile (approx., scenario grid)</t>
  </si>
  <si>
    <t>75th percentile (approx., scenario grid)</t>
  </si>
  <si>
    <t>Probability of any loss</t>
  </si>
  <si>
    <t>Probability of decline &gt; 20%</t>
  </si>
  <si>
    <t>Probability of gain &gt; 20%</t>
  </si>
  <si>
    <t>Probability of outperforming TOPIX (+6% assumed)</t>
  </si>
  <si>
    <t>Probability of outperforming S&amp;P 500 (+7% assumed)</t>
  </si>
  <si>
    <t>Benchmark assumptions: TOPIX +6% and S&amp;P 500 +7% 12M forward are analyst assumptions (Tier 3), stated for transparency. Scenario probabilities are subjective analyst estimates anchored on the DCF scenario framework.</t>
  </si>
  <si>
    <t>MULTI-YEAR SCENARIO-BASED VALUATION RANGES (not forecasts)</t>
  </si>
  <si>
    <t>12-month fair-value range</t>
  </si>
  <si>
    <t>Scenario-based range, NOT a point forecast</t>
  </si>
  <si>
    <t>2-year expected price range</t>
  </si>
  <si>
    <t>3-year expected price range</t>
  </si>
  <si>
    <t>Sheet 17 of 20</t>
  </si>
  <si>
    <t>Investment Case — Buy-Side Committee Summary</t>
  </si>
  <si>
    <t>INVESTMENT THESIS</t>
  </si>
  <si>
    <t>–</t>
  </si>
  <si>
    <t>#3 NAND producer riding a structural AI-storage supercycle: FY2025 revenue +37%, IFRS OP +93% to a record ¥870bn; Q1 FY2026 guided to ¥1,300bn Non-GAAP OP (74% margin) on data-centre demand.</t>
  </si>
  <si>
    <t>Balance sheet transformed: net D/E 227% (Q1 FY2024) to 39% (Mar-2026); preferred shares redeemed; ¥527.5bn loans repaid early Apr-May 2026; net cash expected by end Q1 FY2026 — funding BiCS10 and Kitakami K2 internally.</t>
  </si>
  <si>
    <t>Technology position intact: 8th-gen BiCS leads the production mix; 10th-gen launches FY2026; KV-cache TLC and 245TB QLC SSDs purpose-built for AI inference.</t>
  </si>
  <si>
    <t>FY2026E is anchored to IFIS consensus (¥9.27tn revenue / ¥7.18tn OP) and WACC is refined to 9.3% (β 1.25, reflecting the net-cash balance sheet and Nikkei225/MSCI inclusion). The stock screens fully fairly valued: ~6x FY2026-27E EV/EBITDA (peak earnings), ~8.7x mid-cycle EV/EBITDA, ~12.9x normalised EPS; integrated fair value ~¥81,100 (≈0%). The sell-side consensus target ¥104,056 (+28%, rating 5.0/5) applies near-peak multiples to near-peak earnings.</t>
  </si>
  <si>
    <t>View: HOLD. FY2026E is no longer the issue — it matches consensus. The Base is NOT conservative beyond FY2026E: FY2027E embeds +5% price &amp; +24% bit (no consensus exists past FY2026E) and mid-cycle EBITDA margin ~40% is optimistic vs NAND history (prior troughs 25-30%; operating losses in FY2023). The single swing factor is margin durability (Bear ¥23k / Bull ¥141k). The gap to the ¥104k Street target is the peak-multiple-on-peak-earnings debate.</t>
  </si>
  <si>
    <t>WHAT THE MARKET MAY BE UNDERESTIMATING</t>
  </si>
  <si>
    <t>Durability of the enterprise-SSD mix shift: AI inference storage, KV-cache offload and NL-HDD substitution are structural (TrendForce: enterprise SSD becomes the largest NAND segment in 2026).</t>
  </si>
  <si>
    <t>FY2026-27 cash avalanche: on base assumptions cumulative FCFF of roughly ¥5-6tn (~12% of market cap) funds dividends from FY2027, potential buybacks and full deleveraging.</t>
  </si>
  <si>
    <t>Supply discipline: 2026 industry capex skews to node migration, not wafer adds; meaningful new capacity unlikely before late CY2027 (TrendForce) — prolonging shortage pricing.</t>
  </si>
  <si>
    <t>Hyperscaler long-term agreements disclosed at the Jun-2026 investor day reduce revenue volatility versus prior cycles.</t>
  </si>
  <si>
    <t>Cost-per-bit runway: BiCS8-to-10 migration plus hybrid bonding sustains double-digit annual cost reduction.</t>
  </si>
  <si>
    <t>WHAT THE MARKET MAY BE OVERESTIMATING</t>
  </si>
  <si>
    <t>Sustainability of NAND price increases: +33-38% QoQ (1Q26) and +70-75% QoQ (2Q26) contract hikes are demand-rationing prices; every prior spike was followed by sharp giveback once supply responded.</t>
  </si>
  <si>
    <t>Direct AI exposure: Kioxia sells NO HBM — AI benefits flow only through enterprise SSD/storage demand; the HBM scarcity premium awarded to SK hynix does not transfer.</t>
  </si>
  <si>
    <t>Margin durability: 60-74% operating margins are unprecedented for NAND; prior cycles mean-reverted within 6-10 quarters.</t>
  </si>
  <si>
    <t>Capex efficiency: ¥450bn FY2026 gross capex rises sharply from FY2027 as capacity expansion resumes; depreciation follows with a lag.</t>
  </si>
  <si>
    <t>Chinese competition: YMTC bit growth (~+22% CY2026E) plus any export-control easing is the key structural bear risk.</t>
  </si>
  <si>
    <t>Index/momentum flows: Nikkei 225 and MSCI inclusion plus a ~2,970% one-year gain imply flow-driven marginal pricing.</t>
  </si>
  <si>
    <t>CATALYSTS (6-18 MONTHS)</t>
  </si>
  <si>
    <t>Q1 FY2026 results (Aug-2026): ¥1,750bn revenue / ¥1,300bn NG OP guidance — the near-term swing factor.</t>
  </si>
  <si>
    <t>Further NAND contract-price increases in 2H CY2026; enterprise-SSD qualification wins at US hyperscalers.</t>
  </si>
  <si>
    <t>Dividend initiation detail for FY2027; any buyback announcement.</t>
  </si>
  <si>
    <t>Completion of the ¥400bn senior-loan early repayment; confirmed move to net cash.</t>
  </si>
  <si>
    <t>BiCS10 launch; Super-High-IOPS SSD sampling for next-generation GPU platforms.</t>
  </si>
  <si>
    <t>Planned US ADR listing and further index-inclusion flows.</t>
  </si>
  <si>
    <t>Bain / Toshiba residual stake sell-downs — overhang clearance (or pressure).</t>
  </si>
  <si>
    <t>SK hynix US ADR (as early as Aug-2026) re-rating read-across for the memory complex.</t>
  </si>
  <si>
    <t>RISKS</t>
  </si>
  <si>
    <t>NAND ASP collapse once supply responds (base case embeds -35% in FY2028E).</t>
  </si>
  <si>
    <t>Industry oversupply from YMTC expansion or Samsung / SK hynix NAND reallocation back from HBM.</t>
  </si>
  <si>
    <t>Technology-transition delay or yield deterioration on BiCS10 / hybrid bonding.</t>
  </si>
  <si>
    <t>Higher-than-guided capital expenditure into a softening market.</t>
  </si>
  <si>
    <t>Natural disaster / fab interruption at Yokkaichi or Kitakami (regional concentration).</t>
  </si>
  <si>
    <t>JV friction with SanDisk over capacity allocation, capex sharing or the new compensation model.</t>
  </si>
  <si>
    <t>Customer concentration in a handful of hyperscalers; AI-capex digestion air pockets.</t>
  </si>
  <si>
    <t>JPY appreciation: +/-¥9bn quarterly OP per ±¥1 vs USD (company FX sensitivity).</t>
  </si>
  <si>
    <t>Geopolitics: export controls, China retaliation, shipping disruption.</t>
  </si>
  <si>
    <t>Residual large-shareholder overhang.</t>
  </si>
  <si>
    <t>MONITORING KPIs (10)</t>
  </si>
  <si>
    <t>1. Kioxia bit-shipment growth   2. Blended USD ASP per bit   3. Cost-per-bit reduction rate</t>
  </si>
  <si>
    <t>4. Enterprise-SSD revenue mix   5. Adjusted gross margin ex-JV   6. Non-GAAP EBITDA margin</t>
  </si>
  <si>
    <t>7. Utilisation / production-cut signals   8. Gross capex vs ¥450bn guidance   9. FCF and net-cash build</t>
  </si>
  <si>
    <t>10. NAND contract-price momentum (monthly) vs supplier capacity announcements.</t>
  </si>
  <si>
    <t>TOP-5 VALUATION-UNCERTAINTY ASSUMPTIONS (approx. per-share sensitivity, base case)</t>
  </si>
  <si>
    <t>Mid-cycle EBITDA margin (40% base): +/-3pp moves fair value roughly +/-¥5,000-7,000/share (Sensitivity 2).</t>
  </si>
  <si>
    <t>FY2028 ASP correction depth (-35% base): +/-10pp is roughly +/-¥4,000-6,000/share via FY2028-29 FCFF and terminal base.</t>
  </si>
  <si>
    <t>WACC (9.3% base): +/-0.5pp moves DCF value roughly -/+¥2,500-3,500/share (Sensitivity 1).</t>
  </si>
  <si>
    <t>Exit EV/EBITDA (6.0x base): +/-1.0x is roughly +/-¥2,000-3,000/share through the terminal-value average.</t>
  </si>
  <si>
    <t>FY2026-27 ASP path (+209%/+5% base): +/-20pp in FY2026 is roughly +/-¥3,000-4,000/share via near-term FCFF and NTM multiples.</t>
  </si>
  <si>
    <t>Sheet 18 of 20</t>
  </si>
  <si>
    <t>Source Register</t>
  </si>
  <si>
    <t>#</t>
  </si>
  <si>
    <t>Organisation</t>
  </si>
  <si>
    <t>Document / data item</t>
  </si>
  <si>
    <t>Published</t>
  </si>
  <si>
    <t>Accessed</t>
  </si>
  <si>
    <t>Tier</t>
  </si>
  <si>
    <t>URL / note</t>
  </si>
  <si>
    <t>Consolidated Financial Results FYE 31-Mar-2026 (Tanshin, IFRS): full statements, EPS detail, loan covenants, subsequent events (Nanya stake ¥78.2bn; ¥127.5bn + remaining term-loan early repayment)</t>
  </si>
  <si>
    <t>15-May-2026</t>
  </si>
  <si>
    <t>13-Jun-2026</t>
  </si>
  <si>
    <t>1</t>
  </si>
  <si>
    <t>kioxia-holdings.com/en-jp IR; user-supplied PDF</t>
  </si>
  <si>
    <t>FY2025 results presentation + supplemental data (Non-GAAP reconciliation p.31-34; JV-adjusted P&amp;L p.26; quarterly history p.25-30; NAND outlook p.7; FY2026 priorities p.22)</t>
  </si>
  <si>
    <t>Company IR; user-supplied PDF</t>
  </si>
  <si>
    <t>Consolidated Financial Results FYE 31-Mar-2025 (Tanshin): FY2023/FY2024 statements</t>
  </si>
  <si>
    <t>15-May-2025</t>
  </si>
  <si>
    <t>FY2026 Q1 guidance: revenue ¥1,750bn, NG OP ¥1,300bn, FX 159; CY26 market bit growth high-teens%; CY27 demand&gt;supply; FY2026 gross capex ¥450bn</t>
  </si>
  <si>
    <t>FY2025 deck p.7, 19, 22</t>
  </si>
  <si>
    <t>Nikkei / Asahi</t>
  </si>
  <si>
    <t>285A close 12-Jun-2026 ¥81,200 (+¥5,760); intraday high ¥83,140; market cap ¥44.36tn (largest in Japan); 2026 low ¥10,945 (6-Jan)</t>
  </si>
  <si>
    <t>3</t>
  </si>
  <si>
    <t>nikkei.com; news.yahoo.co.jp (Asahi)</t>
  </si>
  <si>
    <t>Company investor day (via press)</t>
  </si>
  <si>
    <t>Dividends from FY2027; large 3-year capex programme; long-term customer agreements disclosed</t>
  </si>
  <si>
    <t>2-Jun-2026</t>
  </si>
  <si>
    <t>Asahi 12-Jun-2026 summary; Morningstar note</t>
  </si>
  <si>
    <t>TrendForce</t>
  </si>
  <si>
    <t>NAND 2026E revenue $147.3bn (+112% YoY); memory market $551.6bn 2026 to $842.7bn 2027 (+53%)</t>
  </si>
  <si>
    <t>22-Jan-2026</t>
  </si>
  <si>
    <t>2</t>
  </si>
  <si>
    <t>trendforce.com/presscenter/news/20260122-12893.html</t>
  </si>
  <si>
    <t>1Q26 NAND contract prices +33-38% QoQ; enterprise SSD becomes largest segment in 2026</t>
  </si>
  <si>
    <t>5-Jan-2026</t>
  </si>
  <si>
    <t>trendforce.com/presscenter/news/20260105-12860.html</t>
  </si>
  <si>
    <t>2Q26 NAND contract prices +70-75% QoQ; CSP long-term agreements; clear 2026 shortage, capacity relief late-2027/2028</t>
  </si>
  <si>
    <t>31-Mar-2026</t>
  </si>
  <si>
    <t>trendforce.com/presscenter/news/20260331-12995.html</t>
  </si>
  <si>
    <t>2026 NAND capex: Kioxia/SanDisk +41% YoY to ~$4.5bn (most assertive); Micron +63%; Samsung/SK hynix limit NAND in favour of HBM/DRAM</t>
  </si>
  <si>
    <t>13-Nov-2025</t>
  </si>
  <si>
    <t>trendforce.com/presscenter/news/20251113-12780.html</t>
  </si>
  <si>
    <t>Commercial Times via TrendForce</t>
  </si>
  <si>
    <t>CY2026 NAND demand +20-22% YoY vs supply +15-17%</t>
  </si>
  <si>
    <t>20-Nov-2025</t>
  </si>
  <si>
    <t>trendforce.com/news/2025/11/20</t>
  </si>
  <si>
    <t>Morningstar</t>
  </si>
  <si>
    <t>Kioxia #3 NAND supplier, ~14% share (2024); Toshiba 21.9% holder (Nov-2025); nine fabs via Flash Ventures JV (51% Kioxia); investor-day note</t>
  </si>
  <si>
    <t>2026</t>
  </si>
  <si>
    <t>morningstar.com/stocks/xtks/285a/quote</t>
  </si>
  <si>
    <t>Investing.com / WallStreetZen</t>
  </si>
  <si>
    <t>SanDisk SNDK close 12-Jun-2026 $1,969.35; mkt cap $291.4bn; TTM EPS $29.71; 148.1M shares</t>
  </si>
  <si>
    <t>investing.com/equities/sandisk-corp</t>
  </si>
  <si>
    <t>Investing.com / Yahoo Finance</t>
  </si>
  <si>
    <t>Micron MU ~$991.33 (12-Jun-2026); FQ2-26 revenue +196% YoY; share count analyst estimate</t>
  </si>
  <si>
    <t>investing.com; finance.yahoo.com/quote/MU</t>
  </si>
  <si>
    <t>Investing.com / MSN / Google</t>
  </si>
  <si>
    <t>Samsung 005930 close KRW 322,500 (12-Jun-2026); TTM EPS KRW 12,462; 5.85bn shares</t>
  </si>
  <si>
    <t>investing.com/equities/samsung-electronics-co-ltd</t>
  </si>
  <si>
    <t>PitchBook / stockanalysis / Google</t>
  </si>
  <si>
    <t>SK hynix mkt cap KRW 1,488tn (~$1.0tn, 11-Jun-2026); ~710M shares; TTM revenue $92.6bn (to Mar-2026); price ~KRW 2,101,000</t>
  </si>
  <si>
    <t>11-Jun-2026</t>
  </si>
  <si>
    <t>pitchbook.com; stockanalysis.com</t>
  </si>
  <si>
    <t>Reuters via TechTimes</t>
  </si>
  <si>
    <t>SK hynix US ADR listing planned as early as Aug-2026 (up to $14bn)</t>
  </si>
  <si>
    <t>10-Jun-2026</t>
  </si>
  <si>
    <t>techtimes.com</t>
  </si>
  <si>
    <t>StockAnalysis / TipRanks</t>
  </si>
  <si>
    <t>285A consensus Buy; average 12M target ¥86,250; Goldman Sachs upgrade to Buy, PT ¥93,000 (31-May-2026)</t>
  </si>
  <si>
    <t>Jun-2026</t>
  </si>
  <si>
    <t>stockanalysis.com/quote/tyo/285A</t>
  </si>
  <si>
    <t>JapanStockAlpha (analyst)</t>
  </si>
  <si>
    <t>Items flagged "est.": JGB risk-free 2.6%, ERP 5.5%, beta 1.25, peer TTM gaps &amp; share counts, NAND application/supplier bit shares, FY2023 management capex, benchmark 12M returns (TOPIX +6%, S&amp;P +7%)</t>
  </si>
  <si>
    <t>Labelled in-sheet; uncertainty handled via scenarios &amp; sensitivities</t>
  </si>
  <si>
    <t>FY2025 Financial Results presentation: Q4 bit growth around -10%, USD ASP more than doubled; CY26 high-teens market bit growth and CY27 demand&gt;supply</t>
  </si>
  <si>
    <t>FY2025 Consolidated Financial Results (IFRS): application revenue definitions, FY2025 revenue, quarterly segment trends, FY2026 Q1 guidance</t>
  </si>
  <si>
    <t>https://ssl4.eir-parts.net/doc/285A/tdnet/2815628/00.pdf</t>
  </si>
  <si>
    <t>Investor Day: 22% flash-bit CAGR CY25-28, 46% data-center CAGR, tight balance through FY/CY27, planned annual capex ~¥470bn, DC revenue &gt;60% by FY28</t>
  </si>
  <si>
    <t>Investor Day Q&amp;A: LTA discussions; target ~50% of projected CY28 shipments via LTAs; no sharp deterioration expected after 2H CY27</t>
  </si>
  <si>
    <t>https://www.kioxia-holdings.com/content/dam/kioxia-hd/en-jp/ir/library/event/asset/Investor-Day-2026-Eng-QA.pdf</t>
  </si>
  <si>
    <t>Corporate Strategy Meeting script: maintain bit growth in line with NAND market; storage-capacity shipment basis; mid-teens cost/GB reduction</t>
  </si>
  <si>
    <t>5-Jun-2025</t>
  </si>
  <si>
    <t>https://www.kioxia-holdings.com/content/dam/kioxia-hd/en-jp/ir/event/asset/Kioxia-Corporate-Strategy-Meeting-2025-script-en.pdf</t>
  </si>
  <si>
    <t>FQ2-26 presentation: CY26 NAND bit shipments ~20%, tight beyond CY26, limited cleanroom; Singapore NAND wafer output in 2H CY28; FQ2 NAND ASP high-70s QoQ</t>
  </si>
  <si>
    <t>18-Mar-2026</t>
  </si>
  <si>
    <t>https://investors.micron.com/static-files/9c0becf5-df56-4eec-bd67-453dda68b273</t>
  </si>
  <si>
    <t>FQ3-26 results: revenue +97% QoQ, data-center +233%; pricing and high-value mix; multi-year commercial engagements</t>
  </si>
  <si>
    <t>30-Apr-2026</t>
  </si>
  <si>
    <t>https://www.sandisk.com/company/newsroom/press-releases/2026/2026-04-30-sandisk-reports-fiscal-third-quarter-2026-financial-results</t>
  </si>
  <si>
    <t>1Q26 NAND contract price forecast revised to +55-60% QoQ; enterprise SSD +53-58%; order volumes above production capacity</t>
  </si>
  <si>
    <t>2-Feb-2026</t>
  </si>
  <si>
    <t>https://www.trendforce.com/presscenter/news/20260202-12911.html</t>
  </si>
  <si>
    <t>2Q26 NAND contract prices +70-75% QoQ; eSSD demand and LTAs; meaningful capacity expansion unlikely until late-2027/2028</t>
  </si>
  <si>
    <t>https://www.trendforce.com/presscenter/news/20260331-12995.html</t>
  </si>
  <si>
    <t>Top-five NAND revenue +83.7% QoQ in 1Q26; Kioxia +80%; virtually no new 2026 capacity; shortages through year</t>
  </si>
  <si>
    <t>25-May-2026</t>
  </si>
  <si>
    <t>https://www.trendforce.com/presscenter/news/20260525-13058.html</t>
  </si>
  <si>
    <t>MUFG Research</t>
  </si>
  <si>
    <t>June-2026 FX outlook used as one anchor for USD/JPY normalization; macro forecast remains low confidence</t>
  </si>
  <si>
    <t>https://www.mufgresearch.com/fx/monthly-foreign-exchange-outlook-june-2026/</t>
  </si>
  <si>
    <t>Tier 1 = primary company/regulatory filings; Tier 2 = established industry research; Tier 3 = reputable financial media / market data. Paid research is referenced only through publicly accessible company slides or press releases. Forecast numbers not directly disclosed are labelled analyst estimates.</t>
  </si>
  <si>
    <t>Sheet 19 of 20</t>
  </si>
  <si>
    <t>Model Checks</t>
  </si>
  <si>
    <t>Check</t>
  </si>
  <si>
    <t>Status</t>
  </si>
  <si>
    <t>Logic</t>
  </si>
  <si>
    <t>Historical balance sheet balances, FY2025 (assets = liabilities + equity)</t>
  </si>
  <si>
    <t>|assets - (liabilities + equity)| &lt; ¥1bn</t>
  </si>
  <si>
    <t>Historical balance sheet balances, FY2024</t>
  </si>
  <si>
    <t>Historical balance sheet balances, FY2023</t>
  </si>
  <si>
    <t>Tolerance ¥1.5bn (aggregated captions)</t>
  </si>
  <si>
    <t>FY2025 revenue ties to filing (¥2,337.6bn)</t>
  </si>
  <si>
    <t>Tanshin consolidated P&amp;L</t>
  </si>
  <si>
    <t>FY2025 IFRS operating profit ties (¥870.4bn)</t>
  </si>
  <si>
    <t>FY2025 IFRS EBITDA = OP + D&amp;A (¥1,183.2bn; deck Non-GAAP ¥1,187.9bn)</t>
  </si>
  <si>
    <t>Difference vs Non-GAAP = PPA + stock comp</t>
  </si>
  <si>
    <t>Cash-flow reconciliation: FY2025 FCF ¥395.0bn (CFO+CFI, deck)</t>
  </si>
  <si>
    <t>DCF scenario probabilities sum to 100%</t>
  </si>
  <si>
    <t>12M price-scenario probabilities sum to 100%</t>
  </si>
  <si>
    <t>EV-to-equity bridge consistent (DCF sheet)</t>
  </si>
  <si>
    <t>Equity = EV - net debt - leases - NCI - pension</t>
  </si>
  <si>
    <t>Diluted shares consistent (546.086M basic + 8.005M dilutive)</t>
  </si>
  <si>
    <t>Terminal growth below WACC in all scenarios</t>
  </si>
  <si>
    <t>Terminal value &lt; 75% of EV (active scenario)</t>
  </si>
  <si>
    <t>Flags excessive TV dependence</t>
  </si>
  <si>
    <t>Forecast D&amp;A converges toward capex (FY2032 |D&amp;A/capex - 1| &lt; 25%)</t>
  </si>
  <si>
    <t>Economically credible long-run relationship</t>
  </si>
  <si>
    <t>Net-debt roll-forward: FY2032 = closing debt - closing cash</t>
  </si>
  <si>
    <t>Cash roll-forward: FY2026 opening cash = Mar-2026 balance ¥470.7bn</t>
  </si>
  <si>
    <t>Revenue-build reconciliation (contribution sum = change, all 7 years)</t>
  </si>
  <si>
    <t>EBITDA reconciliation: FY2026E = active margin x revenue</t>
  </si>
  <si>
    <t>DCF consistency: active DCF vs matching scenario block (Base selected)</t>
  </si>
  <si>
    <t>6% tolerance: main model adds finance income &amp; debt-schedule detail vs compact block</t>
  </si>
  <si>
    <t>Coherence: base mid-cycle multiple value within 0.5x-1.5x of DCF bear-bull range</t>
  </si>
  <si>
    <t>Dashboard integrated FV links to Valuation Summary</t>
  </si>
  <si>
    <t>Comps: Kioxia market cap ties to Assumptions</t>
  </si>
  <si>
    <t>Terminal-year FCFF positive in all scenarios (Gordon validity)</t>
  </si>
  <si>
    <t>Checks are live formulas; failures display CHECK (red) and are not forced to OK. No IFERROR masking anywhere in the model; no macros; no external links; no Data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</si>
</sst>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¥#,##0;[Red]&quot;(¥&quot;#,##0\);\-"/>
    <numFmt numFmtId="177" formatCode="0.0%;[Red]\(0.0%\);\-"/>
    <numFmt numFmtId="178" formatCode="#,##0.0;[Red]\(#,##0.0\);\-"/>
    <numFmt numFmtId="179" formatCode="\¥#,##0.0"/>
    <numFmt numFmtId="180" formatCode="0.0\x"/>
    <numFmt numFmtId="181" formatCode="#,##0;[Red]\(#,##0\);\-"/>
    <numFmt numFmtId="182" formatCode="#,##0.000"/>
    <numFmt numFmtId="183" formatCode="0.0%;[Red]\(0.0%\)"/>
    <numFmt numFmtId="184" formatCode="0.0"/>
    <numFmt numFmtId="185" formatCode="0.0%;[Red]\-0.0%;\-"/>
    <numFmt numFmtId="186" formatCode="0.000"/>
    <numFmt numFmtId="187" formatCode="#,##0.0"/>
  </numFmts>
  <fonts count="34" x14ac:knownFonts="1">
    <font>
      <sz val="10"/>
      <name val="Arial"/>
      <family val="2"/>
      <charset val="1"/>
    </font>
    <font>
      <sz val="11"/>
      <color theme="1"/>
      <name val="Calibri"/>
      <family val="2"/>
    </font>
    <font>
      <b/>
      <sz val="24"/>
      <color rgb="FFFFFFFF"/>
      <name val="Arial Narrow"/>
      <family val="2"/>
    </font>
    <font>
      <b/>
      <sz val="18"/>
      <color rgb="FFFFFFFF"/>
      <name val="Arial Narrow"/>
      <family val="2"/>
    </font>
    <font>
      <sz val="11"/>
      <color rgb="FF9DC3E6"/>
      <name val="Arial Narrow"/>
      <family val="2"/>
    </font>
    <font>
      <sz val="11"/>
      <color rgb="FFFFFFFF"/>
      <name val="Arial Narrow"/>
      <family val="2"/>
    </font>
    <font>
      <sz val="11"/>
      <color rgb="FFD6E4F0"/>
      <name val="Arial Narrow"/>
      <family val="2"/>
    </font>
    <font>
      <b/>
      <sz val="12"/>
      <color rgb="FFFFFFFF"/>
      <name val="Arial Narrow"/>
      <family val="2"/>
    </font>
    <font>
      <sz val="11"/>
      <color rgb="FFFFE699"/>
      <name val="Arial Narrow"/>
      <family val="2"/>
    </font>
    <font>
      <i/>
      <sz val="9"/>
      <color rgb="FF9DC3E6"/>
      <name val="Arial Narrow"/>
      <family val="2"/>
    </font>
    <font>
      <sz val="9"/>
      <color rgb="FFFFFFFF"/>
      <name val="Arial Narrow"/>
      <family val="2"/>
    </font>
    <font>
      <b/>
      <sz val="15"/>
      <color rgb="FF0B1F33"/>
      <name val="Arial Narrow"/>
      <family val="2"/>
    </font>
    <font>
      <i/>
      <sz val="8"/>
      <color rgb="FF555555"/>
      <name val="Arial Narrow"/>
      <family val="2"/>
    </font>
    <font>
      <b/>
      <sz val="10"/>
      <color rgb="FFFFFFFF"/>
      <name val="Arial Narrow"/>
      <family val="2"/>
    </font>
    <font>
      <b/>
      <sz val="9"/>
      <color rgb="FF1F1F1F"/>
      <name val="Arial Narrow"/>
      <family val="2"/>
    </font>
    <font>
      <sz val="9"/>
      <color rgb="FF1F1F1F"/>
      <name val="Arial Narrow"/>
      <family val="2"/>
    </font>
    <font>
      <b/>
      <sz val="8"/>
      <color rgb="FFFFFFFF"/>
      <name val="Arial Narrow"/>
      <family val="2"/>
    </font>
    <font>
      <sz val="9"/>
      <color rgb="FF1F4E9C"/>
      <name val="Arial Narrow"/>
      <family val="2"/>
    </font>
    <font>
      <i/>
      <sz val="8"/>
      <color rgb="FF666666"/>
      <name val="Arial Narrow"/>
      <family val="2"/>
    </font>
    <font>
      <b/>
      <sz val="9"/>
      <color rgb="FFFFFFFF"/>
      <name val="Arial Narrow"/>
      <family val="2"/>
    </font>
    <font>
      <sz val="9"/>
      <color rgb="FF0000FF"/>
      <name val="Arial Narrow"/>
      <family val="2"/>
    </font>
    <font>
      <sz val="11"/>
      <color rgb="FF0000FF"/>
      <name val="Calibri"/>
      <family val="2"/>
    </font>
    <font>
      <sz val="9"/>
      <color rgb="FF008000"/>
      <name val="Arial Narrow"/>
      <family val="2"/>
    </font>
    <font>
      <sz val="11"/>
      <color rgb="FF008000"/>
      <name val="Calibri"/>
      <family val="2"/>
    </font>
    <font>
      <sz val="9"/>
      <color rgb="FF2E7D32"/>
      <name val="Arial Narrow"/>
      <family val="2"/>
    </font>
    <font>
      <sz val="8"/>
      <color rgb="FF1F1F1F"/>
      <name val="Arial Narrow"/>
      <family val="2"/>
    </font>
    <font>
      <b/>
      <sz val="8"/>
      <color rgb="FF1F1F1F"/>
      <name val="Arial Narrow"/>
      <family val="2"/>
    </font>
    <font>
      <i/>
      <sz val="8"/>
      <color rgb="FF1F1F1F"/>
      <name val="Arial Narrow"/>
      <family val="2"/>
    </font>
    <font>
      <i/>
      <sz val="8"/>
      <color rgb="FF888888"/>
      <name val="Arial Narrow"/>
      <family val="2"/>
    </font>
    <font>
      <sz val="10"/>
      <color theme="1"/>
      <name val="Arial Narrow"/>
      <family val="2"/>
    </font>
    <font>
      <sz val="6"/>
      <name val="ＭＳ Ｐゴシック"/>
      <family val="3"/>
      <charset val="128"/>
    </font>
    <font>
      <sz val="10"/>
      <color rgb="FF0000FF"/>
      <name val="Arial Narrow"/>
      <family val="2"/>
    </font>
    <font>
      <b/>
      <sz val="10"/>
      <color rgb="FF1F2937"/>
      <name val="Arial Narrow"/>
      <family val="2"/>
    </font>
    <font>
      <sz val="10"/>
      <color rgb="FF008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0B1F33"/>
        <bgColor rgb="FF102A43"/>
      </patternFill>
    </fill>
    <fill>
      <patternFill patternType="solid">
        <fgColor rgb="FF284B63"/>
        <bgColor rgb="FF1F4E78"/>
      </patternFill>
    </fill>
    <fill>
      <patternFill patternType="solid">
        <fgColor rgb="FFE7E6E6"/>
        <bgColor rgb="FFE2F0D9"/>
      </patternFill>
    </fill>
    <fill>
      <patternFill patternType="solid">
        <fgColor rgb="FFF4CCCC"/>
        <bgColor rgb="FFD9D9D9"/>
      </patternFill>
    </fill>
    <fill>
      <patternFill patternType="solid">
        <fgColor rgb="FFE2F0D9"/>
        <bgColor rgb="FFE7E6E6"/>
      </patternFill>
    </fill>
    <fill>
      <patternFill patternType="solid">
        <fgColor rgb="FF17365D"/>
        <bgColor rgb="FF102A43"/>
      </patternFill>
    </fill>
    <fill>
      <patternFill patternType="solid">
        <fgColor rgb="FFD9D9D9"/>
        <bgColor rgb="FFD9E2F3"/>
      </patternFill>
    </fill>
    <fill>
      <patternFill patternType="solid">
        <fgColor rgb="FFD9E2F3"/>
        <bgColor rgb="FFD6E4F0"/>
      </patternFill>
    </fill>
    <fill>
      <patternFill patternType="solid">
        <fgColor rgb="FF102A43"/>
        <bgColor rgb="FF1F2937"/>
      </patternFill>
    </fill>
    <fill>
      <patternFill patternType="solid">
        <fgColor rgb="FF1F4E78"/>
        <bgColor rgb="FF284B63"/>
      </patternFill>
    </fill>
    <fill>
      <patternFill patternType="solid">
        <fgColor rgb="FFD9EAF7"/>
        <bgColor rgb="FFD6E4F0"/>
      </patternFill>
    </fill>
    <fill>
      <patternFill patternType="solid">
        <fgColor rgb="FFF3F4F6"/>
        <bgColor rgb="FFFFFFFF"/>
      </patternFill>
    </fill>
  </fills>
  <borders count="2">
    <border>
      <left/>
      <right/>
      <top/>
      <bottom/>
      <diagonal/>
    </border>
    <border>
      <left style="medium">
        <color rgb="FF284B63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76" fontId="7" fillId="2" borderId="0" xfId="0" applyNumberFormat="1" applyFont="1" applyFill="1" applyAlignment="1">
      <alignment horizontal="right"/>
    </xf>
    <xf numFmtId="177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3" fillId="3" borderId="0" xfId="0" applyFont="1" applyFill="1"/>
    <xf numFmtId="0" fontId="1" fillId="3" borderId="0" xfId="0" applyFont="1" applyFill="1"/>
    <xf numFmtId="0" fontId="14" fillId="0" borderId="0" xfId="0" applyFont="1"/>
    <xf numFmtId="176" fontId="15" fillId="4" borderId="0" xfId="0" applyNumberFormat="1" applyFont="1" applyFill="1" applyAlignment="1">
      <alignment horizontal="right"/>
    </xf>
    <xf numFmtId="0" fontId="15" fillId="0" borderId="0" xfId="0" applyFont="1"/>
    <xf numFmtId="176" fontId="15" fillId="5" borderId="0" xfId="0" applyNumberFormat="1" applyFont="1" applyFill="1" applyAlignment="1">
      <alignment horizontal="right"/>
    </xf>
    <xf numFmtId="176" fontId="15" fillId="6" borderId="0" xfId="0" applyNumberFormat="1" applyFont="1" applyFill="1" applyAlignment="1">
      <alignment horizontal="right"/>
    </xf>
    <xf numFmtId="176" fontId="13" fillId="2" borderId="0" xfId="0" applyNumberFormat="1" applyFont="1" applyFill="1" applyAlignment="1">
      <alignment horizontal="right"/>
    </xf>
    <xf numFmtId="177" fontId="15" fillId="4" borderId="0" xfId="0" applyNumberFormat="1" applyFont="1" applyFill="1" applyAlignment="1">
      <alignment horizontal="right"/>
    </xf>
    <xf numFmtId="0" fontId="16" fillId="7" borderId="0" xfId="0" applyFont="1" applyFill="1" applyAlignment="1">
      <alignment horizontal="center"/>
    </xf>
    <xf numFmtId="178" fontId="15" fillId="8" borderId="0" xfId="0" applyNumberFormat="1" applyFont="1" applyFill="1" applyAlignment="1">
      <alignment horizontal="right"/>
    </xf>
    <xf numFmtId="178" fontId="15" fillId="4" borderId="0" xfId="0" applyNumberFormat="1" applyFont="1" applyFill="1" applyAlignment="1">
      <alignment horizontal="right"/>
    </xf>
    <xf numFmtId="177" fontId="15" fillId="8" borderId="0" xfId="0" applyNumberFormat="1" applyFont="1" applyFill="1" applyAlignment="1">
      <alignment horizontal="right"/>
    </xf>
    <xf numFmtId="179" fontId="15" fillId="8" borderId="0" xfId="0" applyNumberFormat="1" applyFont="1" applyFill="1" applyAlignment="1">
      <alignment horizontal="right"/>
    </xf>
    <xf numFmtId="179" fontId="15" fillId="4" borderId="0" xfId="0" applyNumberFormat="1" applyFont="1" applyFill="1" applyAlignment="1">
      <alignment horizontal="right"/>
    </xf>
    <xf numFmtId="180" fontId="15" fillId="8" borderId="0" xfId="0" applyNumberFormat="1" applyFont="1" applyFill="1" applyAlignment="1">
      <alignment horizontal="right"/>
    </xf>
    <xf numFmtId="180" fontId="15" fillId="4" borderId="0" xfId="0" applyNumberFormat="1" applyFont="1" applyFill="1" applyAlignment="1">
      <alignment horizontal="right"/>
    </xf>
    <xf numFmtId="181" fontId="15" fillId="4" borderId="0" xfId="0" applyNumberFormat="1" applyFont="1" applyFill="1" applyAlignment="1">
      <alignment horizontal="right"/>
    </xf>
    <xf numFmtId="181" fontId="17" fillId="9" borderId="0" xfId="0" applyNumberFormat="1" applyFont="1" applyFill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right"/>
    </xf>
    <xf numFmtId="176" fontId="17" fillId="9" borderId="0" xfId="0" applyNumberFormat="1" applyFont="1" applyFill="1" applyAlignment="1">
      <alignment horizontal="right"/>
    </xf>
    <xf numFmtId="182" fontId="17" fillId="9" borderId="0" xfId="0" applyNumberFormat="1" applyFont="1" applyFill="1" applyAlignment="1">
      <alignment horizontal="right"/>
    </xf>
    <xf numFmtId="182" fontId="15" fillId="4" borderId="0" xfId="0" applyNumberFormat="1" applyFont="1" applyFill="1" applyAlignment="1">
      <alignment horizontal="right"/>
    </xf>
    <xf numFmtId="178" fontId="17" fillId="9" borderId="0" xfId="0" applyNumberFormat="1" applyFont="1" applyFill="1" applyAlignment="1">
      <alignment horizontal="right"/>
    </xf>
    <xf numFmtId="181" fontId="17" fillId="9" borderId="0" xfId="0" applyNumberFormat="1" applyFont="1" applyFill="1" applyAlignment="1">
      <alignment horizontal="right"/>
    </xf>
    <xf numFmtId="0" fontId="19" fillId="7" borderId="0" xfId="0" applyFont="1" applyFill="1" applyAlignment="1">
      <alignment horizontal="center"/>
    </xf>
    <xf numFmtId="183" fontId="20" fillId="9" borderId="0" xfId="0" applyNumberFormat="1" applyFont="1" applyFill="1" applyAlignment="1">
      <alignment horizontal="right"/>
    </xf>
    <xf numFmtId="3" fontId="20" fillId="9" borderId="0" xfId="0" applyNumberFormat="1" applyFont="1" applyFill="1" applyAlignment="1">
      <alignment horizontal="right"/>
    </xf>
    <xf numFmtId="183" fontId="21" fillId="0" borderId="0" xfId="0" applyNumberFormat="1" applyFont="1"/>
    <xf numFmtId="177" fontId="20" fillId="9" borderId="0" xfId="0" applyNumberFormat="1" applyFont="1" applyFill="1" applyAlignment="1">
      <alignment horizontal="right"/>
    </xf>
    <xf numFmtId="183" fontId="22" fillId="4" borderId="0" xfId="0" applyNumberFormat="1" applyFont="1" applyFill="1" applyAlignment="1">
      <alignment horizontal="right"/>
    </xf>
    <xf numFmtId="3" fontId="22" fillId="4" borderId="0" xfId="0" applyNumberFormat="1" applyFont="1" applyFill="1" applyAlignment="1">
      <alignment horizontal="right"/>
    </xf>
    <xf numFmtId="0" fontId="23" fillId="0" borderId="0" xfId="0" applyFont="1"/>
    <xf numFmtId="0" fontId="23" fillId="3" borderId="0" xfId="0" applyFont="1" applyFill="1"/>
    <xf numFmtId="183" fontId="22" fillId="9" borderId="0" xfId="0" applyNumberFormat="1" applyFont="1" applyFill="1" applyAlignment="1">
      <alignment horizontal="right"/>
    </xf>
    <xf numFmtId="177" fontId="17" fillId="9" borderId="0" xfId="0" applyNumberFormat="1" applyFont="1" applyFill="1" applyAlignment="1">
      <alignment horizontal="right"/>
    </xf>
    <xf numFmtId="183" fontId="15" fillId="4" borderId="0" xfId="0" applyNumberFormat="1" applyFont="1" applyFill="1" applyAlignment="1">
      <alignment horizontal="right"/>
    </xf>
    <xf numFmtId="180" fontId="17" fillId="9" borderId="0" xfId="0" applyNumberFormat="1" applyFont="1" applyFill="1" applyAlignment="1">
      <alignment horizontal="right"/>
    </xf>
    <xf numFmtId="183" fontId="17" fillId="9" borderId="0" xfId="0" applyNumberFormat="1" applyFont="1" applyFill="1" applyAlignment="1">
      <alignment horizontal="right"/>
    </xf>
    <xf numFmtId="2" fontId="17" fillId="9" borderId="0" xfId="0" applyNumberFormat="1" applyFont="1" applyFill="1" applyAlignment="1">
      <alignment horizontal="right"/>
    </xf>
    <xf numFmtId="0" fontId="0" fillId="3" borderId="0" xfId="0" applyFill="1"/>
    <xf numFmtId="0" fontId="15" fillId="0" borderId="0" xfId="0" applyFont="1" applyAlignment="1">
      <alignment indent="1"/>
    </xf>
    <xf numFmtId="178" fontId="24" fillId="0" borderId="0" xfId="0" applyNumberFormat="1" applyFont="1" applyAlignment="1">
      <alignment horizontal="right"/>
    </xf>
    <xf numFmtId="177" fontId="24" fillId="0" borderId="0" xfId="0" applyNumberFormat="1" applyFont="1"/>
    <xf numFmtId="185" fontId="15" fillId="0" borderId="0" xfId="0" applyNumberFormat="1" applyFont="1"/>
    <xf numFmtId="0" fontId="25" fillId="0" borderId="0" xfId="0" applyFont="1"/>
    <xf numFmtId="181" fontId="15" fillId="8" borderId="0" xfId="0" applyNumberFormat="1" applyFont="1" applyFill="1" applyAlignment="1">
      <alignment horizontal="right"/>
    </xf>
    <xf numFmtId="0" fontId="25" fillId="0" borderId="0" xfId="0" applyFont="1" applyAlignment="1">
      <alignment horizontal="center"/>
    </xf>
    <xf numFmtId="0" fontId="16" fillId="7" borderId="0" xfId="0" applyFont="1" applyFill="1" applyAlignment="1">
      <alignment horizontal="center" wrapText="1"/>
    </xf>
    <xf numFmtId="185" fontId="15" fillId="4" borderId="0" xfId="0" applyNumberFormat="1" applyFont="1" applyFill="1" applyAlignment="1">
      <alignment horizontal="right"/>
    </xf>
    <xf numFmtId="0" fontId="15" fillId="4" borderId="0" xfId="0" applyFont="1" applyFill="1" applyAlignment="1">
      <alignment horizontal="right"/>
    </xf>
    <xf numFmtId="0" fontId="19" fillId="7" borderId="1" xfId="0" applyFont="1" applyFill="1" applyBorder="1" applyAlignment="1">
      <alignment horizontal="center"/>
    </xf>
    <xf numFmtId="178" fontId="24" fillId="8" borderId="0" xfId="0" applyNumberFormat="1" applyFont="1" applyFill="1" applyAlignment="1">
      <alignment horizontal="right"/>
    </xf>
    <xf numFmtId="179" fontId="24" fillId="8" borderId="0" xfId="0" applyNumberFormat="1" applyFont="1" applyFill="1" applyAlignment="1">
      <alignment horizontal="right"/>
    </xf>
    <xf numFmtId="178" fontId="15" fillId="5" borderId="0" xfId="0" applyNumberFormat="1" applyFont="1" applyFill="1" applyAlignment="1">
      <alignment horizontal="right"/>
    </xf>
    <xf numFmtId="0" fontId="26" fillId="0" borderId="0" xfId="0" applyFont="1"/>
    <xf numFmtId="186" fontId="15" fillId="5" borderId="0" xfId="0" applyNumberFormat="1" applyFont="1" applyFill="1" applyAlignment="1">
      <alignment horizontal="right"/>
    </xf>
    <xf numFmtId="186" fontId="15" fillId="4" borderId="0" xfId="0" applyNumberFormat="1" applyFont="1" applyFill="1" applyAlignment="1">
      <alignment horizontal="right"/>
    </xf>
    <xf numFmtId="178" fontId="15" fillId="6" borderId="0" xfId="0" applyNumberFormat="1" applyFont="1" applyFill="1" applyAlignment="1">
      <alignment horizontal="right"/>
    </xf>
    <xf numFmtId="186" fontId="15" fillId="6" borderId="0" xfId="0" applyNumberFormat="1" applyFont="1" applyFill="1" applyAlignment="1">
      <alignment horizontal="right"/>
    </xf>
    <xf numFmtId="177" fontId="15" fillId="5" borderId="0" xfId="0" applyNumberFormat="1" applyFont="1" applyFill="1" applyAlignment="1">
      <alignment horizontal="right"/>
    </xf>
    <xf numFmtId="177" fontId="15" fillId="6" borderId="0" xfId="0" applyNumberFormat="1" applyFont="1" applyFill="1" applyAlignment="1">
      <alignment horizontal="right"/>
    </xf>
    <xf numFmtId="187" fontId="15" fillId="4" borderId="0" xfId="0" applyNumberFormat="1" applyFont="1" applyFill="1" applyAlignment="1">
      <alignment horizontal="right"/>
    </xf>
    <xf numFmtId="177" fontId="13" fillId="2" borderId="0" xfId="0" applyNumberFormat="1" applyFont="1" applyFill="1" applyAlignment="1">
      <alignment horizontal="right"/>
    </xf>
    <xf numFmtId="0" fontId="27" fillId="0" borderId="0" xfId="0" applyFont="1"/>
    <xf numFmtId="181" fontId="24" fillId="0" borderId="0" xfId="0" applyNumberFormat="1" applyFont="1" applyAlignment="1">
      <alignment horizontal="right"/>
    </xf>
    <xf numFmtId="187" fontId="24" fillId="0" borderId="0" xfId="0" applyNumberFormat="1" applyFont="1" applyAlignment="1">
      <alignment horizontal="right"/>
    </xf>
    <xf numFmtId="0" fontId="28" fillId="0" borderId="0" xfId="0" applyFont="1" applyAlignment="1">
      <alignment horizontal="center"/>
    </xf>
    <xf numFmtId="4" fontId="24" fillId="0" borderId="0" xfId="0" applyNumberFormat="1" applyFont="1" applyAlignment="1">
      <alignment horizontal="right"/>
    </xf>
    <xf numFmtId="0" fontId="16" fillId="7" borderId="0" xfId="0" applyFont="1" applyFill="1"/>
    <xf numFmtId="180" fontId="15" fillId="5" borderId="0" xfId="0" applyNumberFormat="1" applyFont="1" applyFill="1" applyAlignment="1">
      <alignment horizontal="right"/>
    </xf>
    <xf numFmtId="180" fontId="15" fillId="6" borderId="0" xfId="0" applyNumberFormat="1" applyFont="1" applyFill="1" applyAlignment="1">
      <alignment horizontal="right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15" fillId="4" borderId="0" xfId="0" applyFont="1" applyFill="1" applyAlignment="1">
      <alignment horizontal="center"/>
    </xf>
    <xf numFmtId="0" fontId="29" fillId="0" borderId="0" xfId="0" applyFont="1"/>
    <xf numFmtId="0" fontId="13" fillId="10" borderId="0" xfId="0" applyFont="1" applyFill="1"/>
    <xf numFmtId="0" fontId="13" fillId="11" borderId="0" xfId="0" applyFont="1" applyFill="1" applyAlignment="1">
      <alignment horizontal="center" wrapText="1"/>
    </xf>
    <xf numFmtId="0" fontId="29" fillId="0" borderId="0" xfId="0" applyFont="1" applyAlignment="1">
      <alignment wrapText="1"/>
    </xf>
    <xf numFmtId="184" fontId="31" fillId="0" borderId="0" xfId="0" applyNumberFormat="1" applyFont="1" applyAlignment="1">
      <alignment wrapText="1"/>
    </xf>
    <xf numFmtId="183" fontId="31" fillId="0" borderId="0" xfId="0" applyNumberFormat="1" applyFont="1" applyAlignment="1">
      <alignment wrapText="1"/>
    </xf>
    <xf numFmtId="0" fontId="32" fillId="12" borderId="0" xfId="0" applyFont="1" applyFill="1" applyAlignment="1">
      <alignment wrapText="1"/>
    </xf>
    <xf numFmtId="183" fontId="31" fillId="13" borderId="0" xfId="0" applyNumberFormat="1" applyFont="1" applyFill="1" applyAlignment="1">
      <alignment wrapText="1"/>
    </xf>
    <xf numFmtId="0" fontId="29" fillId="13" borderId="0" xfId="0" applyFont="1" applyFill="1" applyAlignment="1">
      <alignment wrapText="1"/>
    </xf>
    <xf numFmtId="184" fontId="31" fillId="13" borderId="0" xfId="0" applyNumberFormat="1" applyFont="1" applyFill="1" applyAlignment="1">
      <alignment wrapText="1"/>
    </xf>
    <xf numFmtId="183" fontId="33" fillId="13" borderId="0" xfId="0" applyNumberFormat="1" applyFont="1" applyFill="1" applyAlignment="1">
      <alignment wrapText="1"/>
    </xf>
    <xf numFmtId="3" fontId="31" fillId="13" borderId="0" xfId="0" applyNumberFormat="1" applyFont="1" applyFill="1" applyAlignment="1">
      <alignment wrapText="1"/>
    </xf>
    <xf numFmtId="0" fontId="9" fillId="2" borderId="0" xfId="0" applyFont="1" applyFill="1" applyAlignment="1">
      <alignment vertical="top" wrapText="1"/>
    </xf>
    <xf numFmtId="0" fontId="18" fillId="0" borderId="0" xfId="0" applyFont="1" applyAlignment="1">
      <alignment wrapText="1"/>
    </xf>
    <xf numFmtId="0" fontId="13" fillId="10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2" fillId="4" borderId="0" xfId="0" applyFont="1" applyFill="1" applyAlignment="1">
      <alignment wrapText="1"/>
    </xf>
  </cellXfs>
  <cellStyles count="1">
    <cellStyle name="標準" xfId="0" builtinId="0"/>
  </cellStyles>
  <dxfs count="2">
    <dxf>
      <fill>
        <patternFill>
          <bgColor rgb="FFF4CCCC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2A43"/>
      <rgbColor rgb="FF808000"/>
      <rgbColor rgb="FF800080"/>
      <rgbColor rgb="FF284B63"/>
      <rgbColor rgb="FFB3B3B3"/>
      <rgbColor rgb="FF888888"/>
      <rgbColor rgb="FF9999FF"/>
      <rgbColor rgb="FF555555"/>
      <rgbColor rgb="FFF3F4F6"/>
      <rgbColor rgb="FFD9EAF7"/>
      <rgbColor rgb="FF660066"/>
      <rgbColor rgb="FFFF8080"/>
      <rgbColor rgb="FF1F4E7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F0D9"/>
      <rgbColor rgb="FFFFE699"/>
      <rgbColor rgb="FF9DC3E6"/>
      <rgbColor rgb="FFE7E6E6"/>
      <rgbColor rgb="FFD9E2F3"/>
      <rgbColor rgb="FFF4CCCC"/>
      <rgbColor rgb="FF4472C4"/>
      <rgbColor rgb="FF33CCCC"/>
      <rgbColor rgb="FF70AD47"/>
      <rgbColor rgb="FFFFCC00"/>
      <rgbColor rgb="FFFF9900"/>
      <rgbColor rgb="FFFF6600"/>
      <rgbColor rgb="FF666666"/>
      <rgbColor rgb="FFA0A0A0"/>
      <rgbColor rgb="FF17365D"/>
      <rgbColor rgb="FF2E7D32"/>
      <rgbColor rgb="FF0B1F33"/>
      <rgbColor rgb="FF1F1F1F"/>
      <rgbColor rgb="FF993300"/>
      <rgbColor rgb="FF993366"/>
      <rgbColor rgb="FF1F4E9C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Revenue &amp; EBITDA, FY2023A-FY2032E (JPY bn)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solidFill>
              <a:srgbClr val="17365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'Operating Model'!$C$6:$L$6</c:f>
              <c:strCache>
                <c:ptCount val="10"/>
                <c:pt idx="0">
                  <c:v>FY2023A</c:v>
                </c:pt>
                <c:pt idx="1">
                  <c:v>FY2024A</c:v>
                </c:pt>
                <c:pt idx="2">
                  <c:v>FY2025A</c:v>
                </c:pt>
                <c:pt idx="3">
                  <c:v>FY2026E</c:v>
                </c:pt>
                <c:pt idx="4">
                  <c:v>FY2027E</c:v>
                </c:pt>
                <c:pt idx="5">
                  <c:v>FY2028E</c:v>
                </c:pt>
                <c:pt idx="6">
                  <c:v>FY2029E</c:v>
                </c:pt>
                <c:pt idx="7">
                  <c:v>FY2030E</c:v>
                </c:pt>
                <c:pt idx="8">
                  <c:v>FY2031E</c:v>
                </c:pt>
                <c:pt idx="9">
                  <c:v>FY2032E</c:v>
                </c:pt>
              </c:strCache>
            </c:strRef>
          </c:cat>
          <c:val>
            <c:numRef>
              <c:f>'Operating Model'!$C$7:$L$7</c:f>
              <c:numCache>
                <c:formatCode>#,##0.0;[Red]\(#,##0.0\);\-</c:formatCode>
                <c:ptCount val="10"/>
                <c:pt idx="0">
                  <c:v>1076.5999999999999</c:v>
                </c:pt>
                <c:pt idx="1">
                  <c:v>1706.5</c:v>
                </c:pt>
                <c:pt idx="2">
                  <c:v>2337.6</c:v>
                </c:pt>
                <c:pt idx="3">
                  <c:v>9272.9502627840011</c:v>
                </c:pt>
                <c:pt idx="4">
                  <c:v>12234.359658706702</c:v>
                </c:pt>
                <c:pt idx="5">
                  <c:v>12253.857364520685</c:v>
                </c:pt>
                <c:pt idx="6">
                  <c:v>12457.038162278537</c:v>
                </c:pt>
                <c:pt idx="7">
                  <c:v>12826.585097246932</c:v>
                </c:pt>
                <c:pt idx="8">
                  <c:v>13284.578752221083</c:v>
                </c:pt>
                <c:pt idx="9">
                  <c:v>13909.834637537508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9-4C91-B0C6-088EA43BFF72}"/>
            </c:ext>
          </c:extLst>
        </c:ser>
        <c:ser>
          <c:idx val="1"/>
          <c:order val="1"/>
          <c:tx>
            <c:v>EBITDA</c:v>
          </c:tx>
          <c:spPr>
            <a:solidFill>
              <a:srgbClr val="284B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'Operating Model'!$C$6:$L$6</c:f>
              <c:strCache>
                <c:ptCount val="10"/>
                <c:pt idx="0">
                  <c:v>FY2023A</c:v>
                </c:pt>
                <c:pt idx="1">
                  <c:v>FY2024A</c:v>
                </c:pt>
                <c:pt idx="2">
                  <c:v>FY2025A</c:v>
                </c:pt>
                <c:pt idx="3">
                  <c:v>FY2026E</c:v>
                </c:pt>
                <c:pt idx="4">
                  <c:v>FY2027E</c:v>
                </c:pt>
                <c:pt idx="5">
                  <c:v>FY2028E</c:v>
                </c:pt>
                <c:pt idx="6">
                  <c:v>FY2029E</c:v>
                </c:pt>
                <c:pt idx="7">
                  <c:v>FY2030E</c:v>
                </c:pt>
                <c:pt idx="8">
                  <c:v>FY2031E</c:v>
                </c:pt>
                <c:pt idx="9">
                  <c:v>FY2032E</c:v>
                </c:pt>
              </c:strCache>
            </c:strRef>
          </c:cat>
          <c:val>
            <c:numRef>
              <c:f>'Operating Model'!$C$15:$L$15</c:f>
              <c:numCache>
                <c:formatCode>#,##0.0;[Red]\(#,##0.0\);\-</c:formatCode>
                <c:ptCount val="10"/>
                <c:pt idx="0">
                  <c:v>93.400000000000034</c:v>
                </c:pt>
                <c:pt idx="1">
                  <c:v>764</c:v>
                </c:pt>
                <c:pt idx="2">
                  <c:v>1183.2</c:v>
                </c:pt>
                <c:pt idx="3">
                  <c:v>7501.816762592257</c:v>
                </c:pt>
                <c:pt idx="4">
                  <c:v>8319.3645679205583</c:v>
                </c:pt>
                <c:pt idx="5">
                  <c:v>5636.7743876795157</c:v>
                </c:pt>
                <c:pt idx="6">
                  <c:v>4858.2448832886294</c:v>
                </c:pt>
                <c:pt idx="7">
                  <c:v>5002.368187926304</c:v>
                </c:pt>
                <c:pt idx="8">
                  <c:v>5313.8315008884338</c:v>
                </c:pt>
                <c:pt idx="9">
                  <c:v>5563.9338550150032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9-4C91-B0C6-088EA43BF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09551"/>
        <c:axId val="39881984"/>
      </c:barChart>
      <c:catAx>
        <c:axId val="144095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39881984"/>
        <c:crosses val="autoZero"/>
        <c:auto val="1"/>
        <c:lblAlgn val="ctr"/>
        <c:lblOffset val="100"/>
        <c:noMultiLvlLbl val="0"/>
      </c:catAx>
      <c:valAx>
        <c:axId val="3988198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;[Red]\(#,##0.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1440955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Arial Narrow"/>
              <a:ea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EBITDA margin (active scenario)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284B6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'Operating Model'!$C$6:$L$6</c:f>
              <c:strCache>
                <c:ptCount val="10"/>
                <c:pt idx="0">
                  <c:v>FY2023A</c:v>
                </c:pt>
                <c:pt idx="1">
                  <c:v>FY2024A</c:v>
                </c:pt>
                <c:pt idx="2">
                  <c:v>FY2025A</c:v>
                </c:pt>
                <c:pt idx="3">
                  <c:v>FY2026E</c:v>
                </c:pt>
                <c:pt idx="4">
                  <c:v>FY2027E</c:v>
                </c:pt>
                <c:pt idx="5">
                  <c:v>FY2028E</c:v>
                </c:pt>
                <c:pt idx="6">
                  <c:v>FY2029E</c:v>
                </c:pt>
                <c:pt idx="7">
                  <c:v>FY2030E</c:v>
                </c:pt>
                <c:pt idx="8">
                  <c:v>FY2031E</c:v>
                </c:pt>
                <c:pt idx="9">
                  <c:v>FY2032E</c:v>
                </c:pt>
              </c:strCache>
            </c:strRef>
          </c:cat>
          <c:val>
            <c:numRef>
              <c:f>'Operating Model'!$C$16:$L$16</c:f>
              <c:numCache>
                <c:formatCode>0.0%;[Red]\(0.0%\);\-</c:formatCode>
                <c:ptCount val="10"/>
                <c:pt idx="0">
                  <c:v>8.6754597807913836E-2</c:v>
                </c:pt>
                <c:pt idx="1">
                  <c:v>0.44769997070026368</c:v>
                </c:pt>
                <c:pt idx="2">
                  <c:v>0.50616016427104726</c:v>
                </c:pt>
                <c:pt idx="3">
                  <c:v>0.80900000000000005</c:v>
                </c:pt>
                <c:pt idx="4">
                  <c:v>0.68</c:v>
                </c:pt>
                <c:pt idx="5">
                  <c:v>0.46</c:v>
                </c:pt>
                <c:pt idx="6">
                  <c:v>0.39</c:v>
                </c:pt>
                <c:pt idx="7">
                  <c:v>0.39</c:v>
                </c:pt>
                <c:pt idx="8">
                  <c:v>0.4</c:v>
                </c:pt>
                <c:pt idx="9">
                  <c:v>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7B-4CE0-8570-953762C9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4517030"/>
        <c:axId val="13350586"/>
      </c:lineChart>
      <c:catAx>
        <c:axId val="6451703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13350586"/>
        <c:crosses val="autoZero"/>
        <c:auto val="1"/>
        <c:lblAlgn val="ctr"/>
        <c:lblOffset val="100"/>
        <c:noMultiLvlLbl val="0"/>
      </c:catAx>
      <c:valAx>
        <c:axId val="1335058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%;[Red]\(0.0%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6451703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FCFF (JPY bn, active scenario)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84B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 Flow Model'!$C$6:$K$6</c:f>
              <c:strCache>
                <c:ptCount val="9"/>
                <c:pt idx="0">
                  <c:v>FY2024A</c:v>
                </c:pt>
                <c:pt idx="1">
                  <c:v>FY2025A</c:v>
                </c:pt>
                <c:pt idx="2">
                  <c:v>FY2026E</c:v>
                </c:pt>
                <c:pt idx="3">
                  <c:v>FY2027E</c:v>
                </c:pt>
                <c:pt idx="4">
                  <c:v>FY2028E</c:v>
                </c:pt>
                <c:pt idx="5">
                  <c:v>FY2029E</c:v>
                </c:pt>
                <c:pt idx="6">
                  <c:v>FY2030E</c:v>
                </c:pt>
                <c:pt idx="7">
                  <c:v>FY2031E</c:v>
                </c:pt>
                <c:pt idx="8">
                  <c:v>FY2032E</c:v>
                </c:pt>
              </c:strCache>
            </c:strRef>
          </c:cat>
          <c:val>
            <c:numRef>
              <c:f>'Cash Flow Model'!$C$17:$K$17</c:f>
              <c:numCache>
                <c:formatCode>#,##0.0;[Red]\(#,##0.0\);\-</c:formatCode>
                <c:ptCount val="9"/>
                <c:pt idx="1">
                  <c:v>310.22965183012383</c:v>
                </c:pt>
                <c:pt idx="2">
                  <c:v>4605.0128927841897</c:v>
                </c:pt>
                <c:pt idx="3">
                  <c:v>5448.646046564817</c:v>
                </c:pt>
                <c:pt idx="4">
                  <c:v>3793.6802448872468</c:v>
                </c:pt>
                <c:pt idx="5">
                  <c:v>3128.4194235955692</c:v>
                </c:pt>
                <c:pt idx="6">
                  <c:v>3249.5575943439235</c:v>
                </c:pt>
                <c:pt idx="7">
                  <c:v>3373.8777412572599</c:v>
                </c:pt>
                <c:pt idx="8">
                  <c:v>3513.1070552766787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7-4CEF-BBF5-8F66D91A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972"/>
        <c:axId val="6092051"/>
      </c:barChart>
      <c:catAx>
        <c:axId val="20579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6092051"/>
        <c:crosses val="autoZero"/>
        <c:auto val="1"/>
        <c:lblAlgn val="ctr"/>
        <c:lblOffset val="100"/>
        <c:noMultiLvlLbl val="0"/>
      </c:catAx>
      <c:valAx>
        <c:axId val="609205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;[Red]\(#,##0.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205797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Net debt / (net cash) (JPY bn)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40">
              <a:solidFill>
                <a:srgbClr val="0B1F3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 Flow Model'!$C$6:$K$6</c:f>
              <c:strCache>
                <c:ptCount val="9"/>
                <c:pt idx="0">
                  <c:v>FY2024A</c:v>
                </c:pt>
                <c:pt idx="1">
                  <c:v>FY2025A</c:v>
                </c:pt>
                <c:pt idx="2">
                  <c:v>FY2026E</c:v>
                </c:pt>
                <c:pt idx="3">
                  <c:v>FY2027E</c:v>
                </c:pt>
                <c:pt idx="4">
                  <c:v>FY2028E</c:v>
                </c:pt>
                <c:pt idx="5">
                  <c:v>FY2029E</c:v>
                </c:pt>
                <c:pt idx="6">
                  <c:v>FY2030E</c:v>
                </c:pt>
                <c:pt idx="7">
                  <c:v>FY2031E</c:v>
                </c:pt>
                <c:pt idx="8">
                  <c:v>FY2032E</c:v>
                </c:pt>
              </c:strCache>
            </c:strRef>
          </c:cat>
          <c:val>
            <c:numRef>
              <c:f>'Cash Flow Model'!$C$32:$K$32</c:f>
              <c:numCache>
                <c:formatCode>#,##0.0;[Red]\(#,##0.0\);\-</c:formatCode>
                <c:ptCount val="9"/>
                <c:pt idx="0">
                  <c:v>609.80000000000007</c:v>
                </c:pt>
                <c:pt idx="1">
                  <c:v>576.89999999999986</c:v>
                </c:pt>
                <c:pt idx="2">
                  <c:v>-4003.58751678419</c:v>
                </c:pt>
                <c:pt idx="3">
                  <c:v>-9437.2814113490076</c:v>
                </c:pt>
                <c:pt idx="4">
                  <c:v>-13217.942328236255</c:v>
                </c:pt>
                <c:pt idx="5">
                  <c:v>-16335.070423831823</c:v>
                </c:pt>
                <c:pt idx="6">
                  <c:v>-19574.200690175749</c:v>
                </c:pt>
                <c:pt idx="7">
                  <c:v>-22938.515103433008</c:v>
                </c:pt>
                <c:pt idx="8">
                  <c:v>-26442.058830709688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1DE-440C-84A4-B1F52CABB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6944921"/>
        <c:axId val="34650365"/>
      </c:lineChart>
      <c:catAx>
        <c:axId val="5694492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34650365"/>
        <c:crosses val="autoZero"/>
        <c:auto val="1"/>
        <c:lblAlgn val="ctr"/>
        <c:lblOffset val="100"/>
        <c:noMultiLvlLbl val="0"/>
      </c:catAx>
      <c:valAx>
        <c:axId val="3465036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;[Red]\(#,##0.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5694492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Quarterly Revenue &amp; Non-GAAP EBITDA (JPY bn)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</c:v>
          </c:tx>
          <c:spPr>
            <a:solidFill>
              <a:srgbClr val="17365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'Quarterly Financials'!$C$5:$J$5</c:f>
              <c:strCache>
                <c:ptCount val="8"/>
                <c:pt idx="0">
                  <c:v>FY24 Q1</c:v>
                </c:pt>
                <c:pt idx="1">
                  <c:v>FY24 Q2</c:v>
                </c:pt>
                <c:pt idx="2">
                  <c:v>FY24 Q3</c:v>
                </c:pt>
                <c:pt idx="3">
                  <c:v>FY24 Q4</c:v>
                </c:pt>
                <c:pt idx="4">
                  <c:v>FY25 Q1</c:v>
                </c:pt>
                <c:pt idx="5">
                  <c:v>FY25 Q2</c:v>
                </c:pt>
                <c:pt idx="6">
                  <c:v>FY25 Q3</c:v>
                </c:pt>
                <c:pt idx="7">
                  <c:v>FY25 Q4</c:v>
                </c:pt>
              </c:strCache>
            </c:strRef>
          </c:cat>
          <c:val>
            <c:numRef>
              <c:f>'Quarterly Financials'!$C$7:$J$7</c:f>
              <c:numCache>
                <c:formatCode>#,##0.0;[Red]\(#,##0.0\);\-</c:formatCode>
                <c:ptCount val="8"/>
                <c:pt idx="0">
                  <c:v>428.5</c:v>
                </c:pt>
                <c:pt idx="1">
                  <c:v>480.9</c:v>
                </c:pt>
                <c:pt idx="2">
                  <c:v>450</c:v>
                </c:pt>
                <c:pt idx="3">
                  <c:v>347.1</c:v>
                </c:pt>
                <c:pt idx="4">
                  <c:v>342.8</c:v>
                </c:pt>
                <c:pt idx="5">
                  <c:v>448.3</c:v>
                </c:pt>
                <c:pt idx="6">
                  <c:v>543.6</c:v>
                </c:pt>
                <c:pt idx="7">
                  <c:v>1002.9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A-4A56-A938-6A342082D201}"/>
            </c:ext>
          </c:extLst>
        </c:ser>
        <c:ser>
          <c:idx val="1"/>
          <c:order val="1"/>
          <c:tx>
            <c:v>Non-GAAP EBITDA</c:v>
          </c:tx>
          <c:spPr>
            <a:solidFill>
              <a:srgbClr val="284B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'Quarterly Financials'!$C$5:$J$5</c:f>
              <c:strCache>
                <c:ptCount val="8"/>
                <c:pt idx="0">
                  <c:v>FY24 Q1</c:v>
                </c:pt>
                <c:pt idx="1">
                  <c:v>FY24 Q2</c:v>
                </c:pt>
                <c:pt idx="2">
                  <c:v>FY24 Q3</c:v>
                </c:pt>
                <c:pt idx="3">
                  <c:v>FY24 Q4</c:v>
                </c:pt>
                <c:pt idx="4">
                  <c:v>FY25 Q1</c:v>
                </c:pt>
                <c:pt idx="5">
                  <c:v>FY25 Q2</c:v>
                </c:pt>
                <c:pt idx="6">
                  <c:v>FY25 Q3</c:v>
                </c:pt>
                <c:pt idx="7">
                  <c:v>FY25 Q4</c:v>
                </c:pt>
              </c:strCache>
            </c:strRef>
          </c:cat>
          <c:val>
            <c:numRef>
              <c:f>'Quarterly Financials'!$C$13:$J$13</c:f>
              <c:numCache>
                <c:formatCode>#,##0.0;[Red]\(#,##0.0\);\-</c:formatCode>
                <c:ptCount val="8"/>
                <c:pt idx="0">
                  <c:v>204.4</c:v>
                </c:pt>
                <c:pt idx="1">
                  <c:v>245.2</c:v>
                </c:pt>
                <c:pt idx="2">
                  <c:v>199.8</c:v>
                </c:pt>
                <c:pt idx="3">
                  <c:v>114.7</c:v>
                </c:pt>
                <c:pt idx="4">
                  <c:v>124.9</c:v>
                </c:pt>
                <c:pt idx="5">
                  <c:v>165.8</c:v>
                </c:pt>
                <c:pt idx="6">
                  <c:v>222</c:v>
                </c:pt>
                <c:pt idx="7">
                  <c:v>675.3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A-4A56-A938-6A342082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6815064"/>
        <c:axId val="85921534"/>
      </c:barChart>
      <c:catAx>
        <c:axId val="46815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85921534"/>
        <c:crosses val="autoZero"/>
        <c:auto val="1"/>
        <c:lblAlgn val="ctr"/>
        <c:lblOffset val="100"/>
        <c:noMultiLvlLbl val="0"/>
      </c:catAx>
      <c:valAx>
        <c:axId val="8592153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;[Red]\(#,##0.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468150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Arial Narrow"/>
              <a:ea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Quarterly FCF &amp; Net Debt (JPY bn)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Free cash flow</c:v>
          </c:tx>
          <c:spPr>
            <a:ln w="28440">
              <a:solidFill>
                <a:srgbClr val="284B6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'Quarterly Financials'!$C$5:$J$5</c:f>
              <c:strCache>
                <c:ptCount val="8"/>
                <c:pt idx="0">
                  <c:v>FY24 Q1</c:v>
                </c:pt>
                <c:pt idx="1">
                  <c:v>FY24 Q2</c:v>
                </c:pt>
                <c:pt idx="2">
                  <c:v>FY24 Q3</c:v>
                </c:pt>
                <c:pt idx="3">
                  <c:v>FY24 Q4</c:v>
                </c:pt>
                <c:pt idx="4">
                  <c:v>FY25 Q1</c:v>
                </c:pt>
                <c:pt idx="5">
                  <c:v>FY25 Q2</c:v>
                </c:pt>
                <c:pt idx="6">
                  <c:v>FY25 Q3</c:v>
                </c:pt>
                <c:pt idx="7">
                  <c:v>FY25 Q4</c:v>
                </c:pt>
              </c:strCache>
            </c:strRef>
          </c:cat>
          <c:val>
            <c:numRef>
              <c:f>'Quarterly Financials'!$C$19:$J$19</c:f>
              <c:numCache>
                <c:formatCode>#,##0.0;[Red]\(#,##0.0\);\-</c:formatCode>
                <c:ptCount val="8"/>
                <c:pt idx="0">
                  <c:v>64.099999999999994</c:v>
                </c:pt>
                <c:pt idx="1">
                  <c:v>114.9</c:v>
                </c:pt>
                <c:pt idx="2">
                  <c:v>77.8</c:v>
                </c:pt>
                <c:pt idx="3">
                  <c:v>46.6</c:v>
                </c:pt>
                <c:pt idx="4">
                  <c:v>27</c:v>
                </c:pt>
                <c:pt idx="5">
                  <c:v>41.3</c:v>
                </c:pt>
                <c:pt idx="6">
                  <c:v>85.7</c:v>
                </c:pt>
                <c:pt idx="7">
                  <c:v>241.1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263-497A-BDB9-B820D8C5FA06}"/>
            </c:ext>
          </c:extLst>
        </c:ser>
        <c:ser>
          <c:idx val="1"/>
          <c:order val="1"/>
          <c:tx>
            <c:v>Net debt</c:v>
          </c:tx>
          <c:spPr>
            <a:ln w="28440">
              <a:solidFill>
                <a:srgbClr val="0B1F3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'Quarterly Financials'!$C$5:$J$5</c:f>
              <c:strCache>
                <c:ptCount val="8"/>
                <c:pt idx="0">
                  <c:v>FY24 Q1</c:v>
                </c:pt>
                <c:pt idx="1">
                  <c:v>FY24 Q2</c:v>
                </c:pt>
                <c:pt idx="2">
                  <c:v>FY24 Q3</c:v>
                </c:pt>
                <c:pt idx="3">
                  <c:v>FY24 Q4</c:v>
                </c:pt>
                <c:pt idx="4">
                  <c:v>FY25 Q1</c:v>
                </c:pt>
                <c:pt idx="5">
                  <c:v>FY25 Q2</c:v>
                </c:pt>
                <c:pt idx="6">
                  <c:v>FY25 Q3</c:v>
                </c:pt>
                <c:pt idx="7">
                  <c:v>FY25 Q4</c:v>
                </c:pt>
              </c:strCache>
            </c:strRef>
          </c:cat>
          <c:val>
            <c:numRef>
              <c:f>'Quarterly Financials'!$C$22:$J$22</c:f>
              <c:numCache>
                <c:formatCode>#,##0.0;[Red]\(#,##0.0\);\-</c:formatCode>
                <c:ptCount val="8"/>
                <c:pt idx="0">
                  <c:v>1167.5999999999999</c:v>
                </c:pt>
                <c:pt idx="1">
                  <c:v>1067.9000000000001</c:v>
                </c:pt>
                <c:pt idx="2">
                  <c:v>965.6</c:v>
                </c:pt>
                <c:pt idx="3">
                  <c:v>931</c:v>
                </c:pt>
                <c:pt idx="4">
                  <c:v>912.2</c:v>
                </c:pt>
                <c:pt idx="5">
                  <c:v>873.7</c:v>
                </c:pt>
                <c:pt idx="6">
                  <c:v>787</c:v>
                </c:pt>
                <c:pt idx="7">
                  <c:v>552.1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263-497A-BDB9-B820D8C5F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1816984"/>
        <c:axId val="4623846"/>
      </c:lineChart>
      <c:catAx>
        <c:axId val="81816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4623846"/>
        <c:crosses val="autoZero"/>
        <c:auto val="1"/>
        <c:lblAlgn val="ctr"/>
        <c:lblOffset val="100"/>
        <c:noMultiLvlLbl val="0"/>
      </c:catAx>
      <c:valAx>
        <c:axId val="462384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.0;[Red]\(#,##0.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818169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Arial Narrow"/>
              <a:ea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NAND bit demand vs supply growth (base case)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Demand growth</c:v>
          </c:tx>
          <c:spPr>
            <a:ln w="28440">
              <a:solidFill>
                <a:srgbClr val="17365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'NAND Market'!$C$36:$I$36</c:f>
              <c:strCache>
                <c:ptCount val="7"/>
                <c:pt idx="0">
                  <c:v>FY2026E</c:v>
                </c:pt>
                <c:pt idx="1">
                  <c:v>FY2027E</c:v>
                </c:pt>
                <c:pt idx="2">
                  <c:v>FY2028E</c:v>
                </c:pt>
                <c:pt idx="3">
                  <c:v>FY2029E</c:v>
                </c:pt>
                <c:pt idx="4">
                  <c:v>FY2030E</c:v>
                </c:pt>
                <c:pt idx="5">
                  <c:v>FY2031E</c:v>
                </c:pt>
                <c:pt idx="6">
                  <c:v>FY2032E</c:v>
                </c:pt>
              </c:strCache>
            </c:strRef>
          </c:cat>
          <c:val>
            <c:numRef>
              <c:f>'NAND Market'!$C$37:$I$37</c:f>
              <c:numCache>
                <c:formatCode>0.0%;[Red]\(0.0%\);\-</c:formatCode>
                <c:ptCount val="7"/>
                <c:pt idx="0">
                  <c:v>0.21</c:v>
                </c:pt>
                <c:pt idx="1">
                  <c:v>0.23</c:v>
                </c:pt>
                <c:pt idx="2">
                  <c:v>0.22</c:v>
                </c:pt>
                <c:pt idx="3">
                  <c:v>0.2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A2A-4E37-B125-CC1CC6943B51}"/>
            </c:ext>
          </c:extLst>
        </c:ser>
        <c:ser>
          <c:idx val="1"/>
          <c:order val="1"/>
          <c:tx>
            <c:v>Supply growth</c:v>
          </c:tx>
          <c:spPr>
            <a:ln w="28440">
              <a:solidFill>
                <a:srgbClr val="A0A0A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'NAND Market'!$C$36:$I$36</c:f>
              <c:strCache>
                <c:ptCount val="7"/>
                <c:pt idx="0">
                  <c:v>FY2026E</c:v>
                </c:pt>
                <c:pt idx="1">
                  <c:v>FY2027E</c:v>
                </c:pt>
                <c:pt idx="2">
                  <c:v>FY2028E</c:v>
                </c:pt>
                <c:pt idx="3">
                  <c:v>FY2029E</c:v>
                </c:pt>
                <c:pt idx="4">
                  <c:v>FY2030E</c:v>
                </c:pt>
                <c:pt idx="5">
                  <c:v>FY2031E</c:v>
                </c:pt>
                <c:pt idx="6">
                  <c:v>FY2032E</c:v>
                </c:pt>
              </c:strCache>
            </c:strRef>
          </c:cat>
          <c:val>
            <c:numRef>
              <c:f>'NAND Market'!$C$38:$I$38</c:f>
              <c:numCache>
                <c:formatCode>0.0%;[Red]\(0.0%\);\-</c:formatCode>
                <c:ptCount val="7"/>
                <c:pt idx="0">
                  <c:v>0.18</c:v>
                </c:pt>
                <c:pt idx="1">
                  <c:v>0.2</c:v>
                </c:pt>
                <c:pt idx="2">
                  <c:v>0.22</c:v>
                </c:pt>
                <c:pt idx="3">
                  <c:v>0.21</c:v>
                </c:pt>
                <c:pt idx="4">
                  <c:v>0.19</c:v>
                </c:pt>
                <c:pt idx="5">
                  <c:v>0.18</c:v>
                </c:pt>
                <c:pt idx="6">
                  <c:v>0.17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A2A-4E37-B125-CC1CC6943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5038074"/>
        <c:axId val="75181880"/>
      </c:lineChart>
      <c:catAx>
        <c:axId val="150380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75181880"/>
        <c:crosses val="autoZero"/>
        <c:auto val="1"/>
        <c:lblAlgn val="ctr"/>
        <c:lblOffset val="100"/>
        <c:noMultiLvlLbl val="0"/>
      </c:catAx>
      <c:valAx>
        <c:axId val="7518188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%;[Red]\(0.0%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1503807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Arial Narrow"/>
              <a:ea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Football field: value per share (JPY); current price 81,200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'Valuation Summary'!$A$30:$A$37</c:f>
              <c:strCache>
                <c:ptCount val="8"/>
                <c:pt idx="0">
                  <c:v>DCF — Gordon &amp; exit blend (scenario set)</c:v>
                </c:pt>
                <c:pt idx="1">
                  <c:v>NTM EV/EBITDA (FY2026E)</c:v>
                </c:pt>
                <c:pt idx="2">
                  <c:v>FY+1 EV/EBITDA (FY2027E)</c:v>
                </c:pt>
                <c:pt idx="3">
                  <c:v>Mid-cycle EV/EBITDA</c:v>
                </c:pt>
                <c:pt idx="4">
                  <c:v>NTM P/E</c:v>
                </c:pt>
                <c:pt idx="5">
                  <c:v>Normalised P/E</c:v>
                </c:pt>
                <c:pt idx="6">
                  <c:v>P/B (FY2026E book)</c:v>
                </c:pt>
                <c:pt idx="7">
                  <c:v>EV/Sales (mid-cycle)</c:v>
                </c:pt>
              </c:strCache>
            </c:strRef>
          </c:cat>
          <c:val>
            <c:numRef>
              <c:f>'Valuation Summary'!$B$30:$B$37</c:f>
              <c:numCache>
                <c:formatCode>\¥#,##0;[Red]"(¥"#,##0\);\-</c:formatCode>
                <c:ptCount val="8"/>
                <c:pt idx="0">
                  <c:v>23057.383132783474</c:v>
                </c:pt>
                <c:pt idx="1">
                  <c:v>79743.761540168576</c:v>
                </c:pt>
                <c:pt idx="2">
                  <c:v>73582.178450115214</c:v>
                </c:pt>
                <c:pt idx="3">
                  <c:v>46276.314251118019</c:v>
                </c:pt>
                <c:pt idx="4">
                  <c:v>77619.708958929841</c:v>
                </c:pt>
                <c:pt idx="5">
                  <c:v>76585.98092241821</c:v>
                </c:pt>
                <c:pt idx="6">
                  <c:v>18130.450273470251</c:v>
                </c:pt>
                <c:pt idx="7">
                  <c:v>46662.128888582709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0-46B6-8B8B-4AD34A81E393}"/>
            </c:ext>
          </c:extLst>
        </c:ser>
        <c:ser>
          <c:idx val="1"/>
          <c:order val="1"/>
          <c:spPr>
            <a:solidFill>
              <a:srgbClr val="284B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'Valuation Summary'!$A$30:$A$37</c:f>
              <c:strCache>
                <c:ptCount val="8"/>
                <c:pt idx="0">
                  <c:v>DCF — Gordon &amp; exit blend (scenario set)</c:v>
                </c:pt>
                <c:pt idx="1">
                  <c:v>NTM EV/EBITDA (FY2026E)</c:v>
                </c:pt>
                <c:pt idx="2">
                  <c:v>FY+1 EV/EBITDA (FY2027E)</c:v>
                </c:pt>
                <c:pt idx="3">
                  <c:v>Mid-cycle EV/EBITDA</c:v>
                </c:pt>
                <c:pt idx="4">
                  <c:v>NTM P/E</c:v>
                </c:pt>
                <c:pt idx="5">
                  <c:v>Normalised P/E</c:v>
                </c:pt>
                <c:pt idx="6">
                  <c:v>P/B (FY2026E book)</c:v>
                </c:pt>
                <c:pt idx="7">
                  <c:v>EV/Sales (mid-cycle)</c:v>
                </c:pt>
              </c:strCache>
            </c:strRef>
          </c:cat>
          <c:val>
            <c:numRef>
              <c:f>'Valuation Summary'!$C$30:$C$37</c:f>
              <c:numCache>
                <c:formatCode>\¥#,##0;[Red]"(¥"#,##0\);\-</c:formatCode>
                <c:ptCount val="8"/>
                <c:pt idx="0">
                  <c:v>117716.52208682008</c:v>
                </c:pt>
                <c:pt idx="1">
                  <c:v>54155.846332766669</c:v>
                </c:pt>
                <c:pt idx="2">
                  <c:v>60057.749127277362</c:v>
                </c:pt>
                <c:pt idx="3">
                  <c:v>38213.057768079583</c:v>
                </c:pt>
                <c:pt idx="4">
                  <c:v>77619.708958929841</c:v>
                </c:pt>
                <c:pt idx="5">
                  <c:v>38292.990461209105</c:v>
                </c:pt>
                <c:pt idx="6">
                  <c:v>24173.933697960343</c:v>
                </c:pt>
                <c:pt idx="7">
                  <c:v>28891.282108538508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0-46B6-8B8B-4AD34A81E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718522"/>
        <c:axId val="76971373"/>
      </c:barChart>
      <c:catAx>
        <c:axId val="6771852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76971373"/>
        <c:crosses val="autoZero"/>
        <c:auto val="1"/>
        <c:lblAlgn val="ctr"/>
        <c:lblOffset val="100"/>
        <c:noMultiLvlLbl val="0"/>
      </c:catAx>
      <c:valAx>
        <c:axId val="76971373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\¥#,##0;[Red]&quot;(¥&quot;#,##0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6771852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tx>
        <c:rich>
          <a:bodyPr rot="0"/>
          <a:lstStyle/>
          <a:p>
            <a:pPr>
              <a:defRPr sz="1100" b="1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r>
              <a:rPr lang="en-US" sz="1100" b="1" strike="noStrike" spc="-1">
                <a:solidFill>
                  <a:srgbClr val="000000"/>
                </a:solidFill>
                <a:latin typeface="Arial Narrow"/>
                <a:ea typeface="Calibri"/>
              </a:rPr>
              <a:t>Probability by 12M price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84B6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'Probability Distribution'!$A$7:$A$11</c:f>
              <c:strCache>
                <c:ptCount val="5"/>
                <c:pt idx="0">
                  <c:v>Severe Bear</c:v>
                </c:pt>
                <c:pt idx="1">
                  <c:v>Bear</c:v>
                </c:pt>
                <c:pt idx="2">
                  <c:v>Base</c:v>
                </c:pt>
                <c:pt idx="3">
                  <c:v>Bull</c:v>
                </c:pt>
                <c:pt idx="4">
                  <c:v>Extreme Bull</c:v>
                </c:pt>
              </c:strCache>
            </c:strRef>
          </c:cat>
          <c:val>
            <c:numRef>
              <c:f>'Probability Distribution'!$B$7:$B$11</c:f>
              <c:numCache>
                <c:formatCode>0.0%;[Red]\(0.0%\);\-</c:formatCode>
                <c:ptCount val="5"/>
                <c:pt idx="0">
                  <c:v>0.05</c:v>
                </c:pt>
                <c:pt idx="1">
                  <c:v>0.2</c:v>
                </c:pt>
                <c:pt idx="2">
                  <c:v>0.4</c:v>
                </c:pt>
                <c:pt idx="3">
                  <c:v>0.25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861-BA26-468B84E8A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812533"/>
        <c:axId val="97919997"/>
      </c:barChart>
      <c:catAx>
        <c:axId val="858125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97919997"/>
        <c:crosses val="autoZero"/>
        <c:auto val="1"/>
        <c:lblAlgn val="ctr"/>
        <c:lblOffset val="100"/>
        <c:noMultiLvlLbl val="0"/>
      </c:catAx>
      <c:valAx>
        <c:axId val="9791999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%;[Red]\(0.0%\);\-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Arial Narrow"/>
                <a:ea typeface="Calibri"/>
              </a:defRPr>
            </a:pPr>
            <a:endParaRPr lang="ja-JP"/>
          </a:p>
        </c:txPr>
        <c:crossAx val="8581253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114300</xdr:rowOff>
    </xdr:from>
    <xdr:to>
      <xdr:col>3</xdr:col>
      <xdr:colOff>181440</xdr:colOff>
      <xdr:row>54</xdr:row>
      <xdr:rowOff>144540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40</xdr:row>
      <xdr:rowOff>104775</xdr:rowOff>
    </xdr:from>
    <xdr:to>
      <xdr:col>12</xdr:col>
      <xdr:colOff>266700</xdr:colOff>
      <xdr:row>54</xdr:row>
      <xdr:rowOff>135015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180974</xdr:colOff>
      <xdr:row>69</xdr:row>
      <xdr:rowOff>30600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0</xdr:colOff>
      <xdr:row>55</xdr:row>
      <xdr:rowOff>0</xdr:rowOff>
    </xdr:from>
    <xdr:to>
      <xdr:col>12</xdr:col>
      <xdr:colOff>258120</xdr:colOff>
      <xdr:row>69</xdr:row>
      <xdr:rowOff>30600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10</xdr:col>
      <xdr:colOff>118800</xdr:colOff>
      <xdr:row>46</xdr:row>
      <xdr:rowOff>40680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48</xdr:row>
      <xdr:rowOff>0</xdr:rowOff>
    </xdr:from>
    <xdr:to>
      <xdr:col>10</xdr:col>
      <xdr:colOff>118800</xdr:colOff>
      <xdr:row>61</xdr:row>
      <xdr:rowOff>41040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8</xdr:col>
      <xdr:colOff>322560</xdr:colOff>
      <xdr:row>55</xdr:row>
      <xdr:rowOff>41040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4</xdr:col>
      <xdr:colOff>478800</xdr:colOff>
      <xdr:row>55</xdr:row>
      <xdr:rowOff>189360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4</xdr:col>
      <xdr:colOff>378000</xdr:colOff>
      <xdr:row>45</xdr:row>
      <xdr:rowOff>40680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/>
  </sheetViews>
  <sheetFormatPr defaultColWidth="8.7109375" defaultRowHeight="15" x14ac:dyDescent="0.25"/>
  <cols>
    <col min="1" max="1" width="3" style="1" customWidth="1"/>
    <col min="2" max="2" width="42" style="1" customWidth="1"/>
    <col min="3" max="5" width="24" style="1" customWidth="1"/>
    <col min="6" max="6" width="3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28.5" customHeight="1" x14ac:dyDescent="0.4">
      <c r="A5" s="2"/>
      <c r="B5" s="3" t="s">
        <v>0</v>
      </c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21.75" customHeight="1" x14ac:dyDescent="0.35">
      <c r="A7" s="2"/>
      <c r="B7" s="4" t="s">
        <v>1</v>
      </c>
      <c r="C7" s="2"/>
      <c r="D7" s="2"/>
      <c r="E7" s="2"/>
      <c r="F7" s="2"/>
      <c r="G7" s="2"/>
    </row>
    <row r="8" spans="1:7" ht="15" customHeight="1" x14ac:dyDescent="0.3">
      <c r="A8" s="2"/>
      <c r="B8" s="5" t="s">
        <v>2</v>
      </c>
      <c r="C8" s="2"/>
      <c r="D8" s="2"/>
      <c r="E8" s="2"/>
      <c r="F8" s="2"/>
      <c r="G8" s="2"/>
    </row>
    <row r="9" spans="1:7" ht="15" customHeight="1" x14ac:dyDescent="0.25">
      <c r="A9" s="2"/>
      <c r="B9" s="2"/>
      <c r="C9" s="2"/>
      <c r="D9" s="2"/>
      <c r="E9" s="2"/>
      <c r="F9" s="2"/>
      <c r="G9" s="2"/>
    </row>
    <row r="10" spans="1:7" ht="15" customHeight="1" x14ac:dyDescent="0.3">
      <c r="A10" s="2"/>
      <c r="B10" s="6" t="s">
        <v>3</v>
      </c>
      <c r="C10" s="2"/>
      <c r="D10" s="2"/>
      <c r="E10" s="2"/>
      <c r="F10" s="2"/>
      <c r="G10" s="2"/>
    </row>
    <row r="11" spans="1:7" ht="15" customHeight="1" x14ac:dyDescent="0.25">
      <c r="A11" s="2"/>
      <c r="B11" s="2"/>
      <c r="C11" s="2"/>
      <c r="D11" s="2"/>
      <c r="E11" s="2"/>
      <c r="F11" s="2"/>
      <c r="G11" s="2"/>
    </row>
    <row r="12" spans="1:7" ht="15" customHeight="1" x14ac:dyDescent="0.25">
      <c r="A12" s="2"/>
      <c r="B12" s="2"/>
      <c r="C12" s="2"/>
      <c r="D12" s="2"/>
      <c r="E12" s="2"/>
      <c r="F12" s="2"/>
      <c r="G12" s="2"/>
    </row>
    <row r="13" spans="1:7" ht="15" customHeight="1" x14ac:dyDescent="0.3">
      <c r="A13" s="2"/>
      <c r="B13" s="7" t="s">
        <v>4</v>
      </c>
      <c r="C13" s="2"/>
      <c r="D13" s="8">
        <f>Share_Price</f>
        <v>81200</v>
      </c>
      <c r="E13" s="2"/>
      <c r="F13" s="2"/>
      <c r="G13" s="2"/>
    </row>
    <row r="14" spans="1:7" ht="15" customHeight="1" x14ac:dyDescent="0.3">
      <c r="A14" s="2"/>
      <c r="B14" s="7" t="s">
        <v>5</v>
      </c>
      <c r="C14" s="2"/>
      <c r="D14" s="8">
        <f>'Scenario Analysis'!C56</f>
        <v>78068.37085346457</v>
      </c>
      <c r="E14" s="2"/>
      <c r="F14" s="2"/>
      <c r="G14" s="2"/>
    </row>
    <row r="15" spans="1:7" ht="15" customHeight="1" x14ac:dyDescent="0.3">
      <c r="A15" s="2"/>
      <c r="B15" s="7" t="s">
        <v>6</v>
      </c>
      <c r="C15" s="2"/>
      <c r="D15" s="8">
        <f>'Valuation Summary'!C23</f>
        <v>81133.780606421104</v>
      </c>
      <c r="E15" s="2"/>
      <c r="F15" s="2"/>
      <c r="G15" s="2"/>
    </row>
    <row r="16" spans="1:7" ht="15" customHeight="1" x14ac:dyDescent="0.3">
      <c r="A16" s="2"/>
      <c r="B16" s="7" t="s">
        <v>7</v>
      </c>
      <c r="C16" s="2"/>
      <c r="D16" s="8">
        <f>'Scenario Analysis'!K29</f>
        <v>74221.097530735628</v>
      </c>
      <c r="E16" s="2"/>
      <c r="F16" s="2"/>
      <c r="G16" s="2"/>
    </row>
    <row r="17" spans="1:7" ht="15" customHeight="1" x14ac:dyDescent="0.3">
      <c r="A17" s="2"/>
      <c r="B17" s="7" t="s">
        <v>8</v>
      </c>
      <c r="C17" s="2"/>
      <c r="D17" s="8">
        <f>'Scenario Analysis'!K44</f>
        <v>140773.90521960356</v>
      </c>
      <c r="E17" s="2"/>
      <c r="F17" s="2"/>
      <c r="G17" s="2"/>
    </row>
    <row r="18" spans="1:7" ht="15" customHeight="1" x14ac:dyDescent="0.3">
      <c r="A18" s="2"/>
      <c r="B18" s="7" t="s">
        <v>9</v>
      </c>
      <c r="C18" s="2"/>
      <c r="D18" s="8">
        <f>'Scenario Analysis'!K14</f>
        <v>23057.383132783474</v>
      </c>
      <c r="E18" s="2"/>
      <c r="F18" s="2"/>
      <c r="G18" s="2"/>
    </row>
    <row r="19" spans="1:7" ht="15" customHeight="1" x14ac:dyDescent="0.3">
      <c r="A19" s="2"/>
      <c r="B19" s="7" t="s">
        <v>10</v>
      </c>
      <c r="C19" s="2"/>
      <c r="D19" s="8">
        <f>'Probability Distribution'!C14</f>
        <v>76800</v>
      </c>
      <c r="E19" s="2"/>
      <c r="F19" s="2"/>
      <c r="G19" s="2"/>
    </row>
    <row r="20" spans="1:7" ht="15" customHeight="1" x14ac:dyDescent="0.3">
      <c r="A20" s="2"/>
      <c r="B20" s="7" t="s">
        <v>11</v>
      </c>
      <c r="C20" s="2"/>
      <c r="D20" s="9">
        <f>'Probability Distribution'!C15</f>
        <v>-5.4187192118226563E-2</v>
      </c>
      <c r="E20" s="2"/>
      <c r="F20" s="2"/>
      <c r="G20" s="2"/>
    </row>
    <row r="21" spans="1:7" ht="15" customHeight="1" x14ac:dyDescent="0.3">
      <c r="A21" s="2"/>
      <c r="B21" s="7" t="s">
        <v>12</v>
      </c>
      <c r="C21" s="2"/>
      <c r="D21" s="9">
        <f>'Scenario Analysis'!K14/Share_Price-1</f>
        <v>-0.7160420796455238</v>
      </c>
      <c r="E21" s="2"/>
      <c r="F21" s="2"/>
      <c r="G21" s="2"/>
    </row>
    <row r="22" spans="1:7" ht="15" customHeight="1" x14ac:dyDescent="0.25">
      <c r="A22" s="2"/>
      <c r="B22" s="2"/>
      <c r="C22" s="2"/>
      <c r="D22" s="2"/>
      <c r="E22" s="2"/>
      <c r="F22" s="2"/>
      <c r="G22" s="2"/>
    </row>
    <row r="23" spans="1:7" ht="15" customHeight="1" x14ac:dyDescent="0.3">
      <c r="A23" s="2"/>
      <c r="B23" s="10"/>
      <c r="C23" s="11"/>
      <c r="D23" s="2"/>
      <c r="E23" s="2"/>
      <c r="F23" s="2"/>
      <c r="G23" s="2"/>
    </row>
    <row r="24" spans="1:7" ht="15" customHeight="1" x14ac:dyDescent="0.25">
      <c r="A24" s="2"/>
      <c r="B24" s="2"/>
      <c r="C24" s="2"/>
      <c r="D24" s="2"/>
      <c r="E24" s="2"/>
      <c r="F24" s="2"/>
      <c r="G24" s="2"/>
    </row>
    <row r="25" spans="1:7" ht="15" customHeight="1" x14ac:dyDescent="0.25">
      <c r="A25" s="2"/>
      <c r="B25" s="2"/>
      <c r="C25" s="2"/>
      <c r="D25" s="2"/>
      <c r="E25" s="2"/>
      <c r="F25" s="2"/>
      <c r="G25" s="2"/>
    </row>
    <row r="26" spans="1:7" ht="15" customHeight="1" x14ac:dyDescent="0.25">
      <c r="A26" s="2"/>
      <c r="B26" s="106" t="s">
        <v>13</v>
      </c>
      <c r="C26" s="106"/>
      <c r="D26" s="106"/>
      <c r="E26" s="106"/>
      <c r="F26" s="2"/>
      <c r="G26" s="2"/>
    </row>
    <row r="27" spans="1:7" ht="15" customHeight="1" x14ac:dyDescent="0.25">
      <c r="A27" s="2"/>
      <c r="B27" s="106"/>
      <c r="C27" s="106"/>
      <c r="D27" s="106"/>
      <c r="E27" s="106"/>
      <c r="F27" s="2"/>
      <c r="G27" s="2"/>
    </row>
    <row r="28" spans="1:7" ht="15" customHeight="1" x14ac:dyDescent="0.25">
      <c r="A28" s="2"/>
      <c r="B28" s="106"/>
      <c r="C28" s="106"/>
      <c r="D28" s="106"/>
      <c r="E28" s="106"/>
      <c r="F28" s="2"/>
      <c r="G28" s="2"/>
    </row>
    <row r="29" spans="1:7" ht="15" customHeight="1" x14ac:dyDescent="0.25">
      <c r="A29" s="2"/>
      <c r="B29" s="2"/>
      <c r="C29" s="2"/>
      <c r="D29" s="2"/>
      <c r="E29" s="2"/>
      <c r="F29" s="2"/>
      <c r="G29" s="2"/>
    </row>
    <row r="30" spans="1:7" ht="15" customHeight="1" x14ac:dyDescent="0.25">
      <c r="A30" s="2"/>
      <c r="B30" s="2"/>
      <c r="C30" s="2"/>
      <c r="D30" s="2"/>
      <c r="E30" s="2"/>
      <c r="F30" s="2"/>
      <c r="G30" s="2"/>
    </row>
    <row r="31" spans="1:7" ht="15" customHeight="1" x14ac:dyDescent="0.25">
      <c r="A31" s="2"/>
      <c r="B31" s="2"/>
      <c r="C31" s="2"/>
      <c r="D31" s="2"/>
      <c r="E31" s="2"/>
      <c r="F31" s="2"/>
      <c r="G31" s="2"/>
    </row>
    <row r="32" spans="1:7" ht="15" customHeight="1" x14ac:dyDescent="0.25">
      <c r="A32" s="2"/>
      <c r="B32" s="2"/>
      <c r="C32" s="2"/>
      <c r="D32" s="2"/>
      <c r="E32" s="2"/>
      <c r="F32" s="2"/>
      <c r="G32" s="2"/>
    </row>
    <row r="33" spans="1:7" ht="15" customHeight="1" x14ac:dyDescent="0.25">
      <c r="A33" s="2"/>
      <c r="B33" s="2"/>
      <c r="C33" s="2"/>
      <c r="D33" s="2"/>
      <c r="E33" s="2"/>
      <c r="F33" s="2"/>
      <c r="G33" s="2"/>
    </row>
    <row r="34" spans="1:7" ht="15" customHeight="1" x14ac:dyDescent="0.25">
      <c r="A34" s="2"/>
      <c r="B34" s="2"/>
      <c r="C34" s="2"/>
      <c r="D34" s="2"/>
      <c r="E34" s="2"/>
      <c r="F34" s="2"/>
      <c r="G34" s="2"/>
    </row>
    <row r="35" spans="1:7" ht="15" customHeight="1" x14ac:dyDescent="0.25">
      <c r="A35" s="2"/>
      <c r="B35" s="2"/>
      <c r="C35" s="2"/>
      <c r="D35" s="2"/>
      <c r="E35" s="2"/>
      <c r="F35" s="2"/>
      <c r="G35" s="2"/>
    </row>
    <row r="36" spans="1:7" ht="15" customHeight="1" x14ac:dyDescent="0.25">
      <c r="A36" s="2"/>
      <c r="B36" s="2"/>
      <c r="C36" s="2"/>
      <c r="D36" s="2"/>
      <c r="E36" s="2"/>
      <c r="F36" s="2"/>
      <c r="G36" s="2"/>
    </row>
    <row r="37" spans="1:7" ht="15" customHeight="1" x14ac:dyDescent="0.25">
      <c r="A37" s="2"/>
      <c r="B37" s="2"/>
      <c r="C37" s="2"/>
      <c r="D37" s="2"/>
      <c r="E37" s="2"/>
      <c r="F37" s="2"/>
      <c r="G37" s="2"/>
    </row>
    <row r="38" spans="1:7" ht="15" customHeight="1" x14ac:dyDescent="0.25">
      <c r="A38" s="2"/>
      <c r="B38" s="2"/>
      <c r="C38" s="2"/>
      <c r="D38" s="2"/>
      <c r="E38" s="2"/>
      <c r="F38" s="2"/>
      <c r="G38" s="2"/>
    </row>
    <row r="39" spans="1:7" ht="15" customHeight="1" x14ac:dyDescent="0.25">
      <c r="A39" s="2"/>
      <c r="B39" s="2"/>
      <c r="C39" s="2"/>
      <c r="D39" s="2"/>
      <c r="E39" s="2"/>
      <c r="F39" s="2"/>
      <c r="G39" s="2"/>
    </row>
    <row r="40" spans="1:7" ht="15" customHeight="1" x14ac:dyDescent="0.25">
      <c r="A40" s="2"/>
      <c r="B40" s="2"/>
      <c r="C40" s="2"/>
      <c r="D40" s="2"/>
      <c r="E40" s="2"/>
      <c r="F40" s="2"/>
      <c r="G40" s="2"/>
    </row>
    <row r="41" spans="1:7" ht="15" customHeight="1" x14ac:dyDescent="0.25">
      <c r="A41" s="2"/>
      <c r="B41" s="2"/>
      <c r="C41" s="2"/>
      <c r="D41" s="2"/>
      <c r="E41" s="2"/>
      <c r="F41" s="2"/>
      <c r="G41" s="2"/>
    </row>
    <row r="42" spans="1:7" ht="15" customHeight="1" x14ac:dyDescent="0.25">
      <c r="A42" s="2"/>
      <c r="B42" s="2"/>
      <c r="C42" s="2"/>
      <c r="D42" s="2"/>
      <c r="E42" s="2"/>
      <c r="F42" s="2"/>
      <c r="G42" s="2"/>
    </row>
    <row r="43" spans="1:7" ht="15" customHeight="1" x14ac:dyDescent="0.25">
      <c r="A43" s="2"/>
      <c r="B43" s="2"/>
      <c r="C43" s="2"/>
      <c r="D43" s="2"/>
      <c r="E43" s="2"/>
      <c r="F43" s="2"/>
      <c r="G43" s="2"/>
    </row>
  </sheetData>
  <mergeCells count="1">
    <mergeCell ref="B26:E28"/>
  </mergeCells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8"/>
  <sheetViews>
    <sheetView showGridLines="0" zoomScaleNormal="100" workbookViewId="0">
      <selection activeCell="C23" sqref="C23"/>
    </sheetView>
  </sheetViews>
  <sheetFormatPr defaultColWidth="8.7109375" defaultRowHeight="15" x14ac:dyDescent="0.25"/>
  <cols>
    <col min="1" max="1" width="40" style="1" customWidth="1"/>
    <col min="2" max="2" width="4" style="1" customWidth="1"/>
    <col min="3" max="9" width="10.5703125" style="1" customWidth="1"/>
    <col min="10" max="10" width="26" style="1" customWidth="1"/>
    <col min="11" max="11" width="13" style="1" customWidth="1"/>
    <col min="12" max="12" width="2" style="1" customWidth="1"/>
    <col min="13" max="13" width="50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523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524</v>
      </c>
    </row>
    <row r="3" spans="1:14" ht="15" customHeight="1" x14ac:dyDescent="0.25">
      <c r="A3" s="15" t="s">
        <v>16</v>
      </c>
    </row>
    <row r="6" spans="1:14" ht="15" customHeight="1" x14ac:dyDescent="0.25">
      <c r="A6" s="16" t="s">
        <v>525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15" customHeight="1" x14ac:dyDescent="0.25">
      <c r="C7" s="42" t="s">
        <v>31</v>
      </c>
      <c r="D7" s="42" t="s">
        <v>32</v>
      </c>
      <c r="E7" s="42" t="s">
        <v>46</v>
      </c>
      <c r="F7" s="42" t="s">
        <v>98</v>
      </c>
      <c r="G7" s="42" t="s">
        <v>47</v>
      </c>
      <c r="H7" s="42" t="s">
        <v>99</v>
      </c>
      <c r="I7" s="42" t="s">
        <v>100</v>
      </c>
    </row>
    <row r="8" spans="1:14" ht="15" customHeight="1" x14ac:dyDescent="0.25">
      <c r="A8" s="18" t="s">
        <v>250</v>
      </c>
      <c r="C8" s="71">
        <f>'Operating Model'!$E$7*(1+Assumptions!C31)*(1+Assumptions!C32)*(1+Assumptions!C33)*(1+Assumptions!C34)</f>
        <v>7153.4424832000004</v>
      </c>
      <c r="D8" s="71">
        <f>C8*(1+Assumptions!D31)*(1+Assumptions!D32)*(1+Assumptions!D33)*(1+Assumptions!D34)</f>
        <v>7595.2569745686415</v>
      </c>
      <c r="E8" s="71">
        <f>D8*(1+Assumptions!E31)*(1+Assumptions!E32)*(1+Assumptions!E33)*(1+Assumptions!E34)</f>
        <v>5903.3480071302465</v>
      </c>
      <c r="F8" s="71">
        <f>E8*(1+Assumptions!F31)*(1+Assumptions!F32)*(1+Assumptions!F33)*(1+Assumptions!F34)</f>
        <v>5306.9411913241747</v>
      </c>
      <c r="G8" s="71">
        <f>F8*(1+Assumptions!G31)*(1+Assumptions!G32)*(1+Assumptions!G33)*(1+Assumptions!G34)</f>
        <v>5413.0800151506583</v>
      </c>
      <c r="H8" s="71">
        <f>G8*(1+Assumptions!H31)*(1+Assumptions!H32)*(1+Assumptions!H33)*(1+Assumptions!H34)</f>
        <v>5741.7773584530023</v>
      </c>
      <c r="I8" s="71">
        <f>H8*(1+Assumptions!I31)*(1+Assumptions!I32)*(1+Assumptions!I33)*(1+Assumptions!I34)</f>
        <v>6102.7636665492573</v>
      </c>
      <c r="J8" s="62" t="s">
        <v>526</v>
      </c>
      <c r="K8" s="27">
        <f>SUM(C19:I19)</f>
        <v>7938.8520185513989</v>
      </c>
    </row>
    <row r="9" spans="1:14" ht="15" customHeight="1" x14ac:dyDescent="0.25">
      <c r="A9" s="20" t="s">
        <v>527</v>
      </c>
      <c r="C9" s="71">
        <f>C8*Assumptions!C35</f>
        <v>5007.4097382399996</v>
      </c>
      <c r="D9" s="71">
        <f>D8*Assumptions!D35</f>
        <v>3949.5336267756938</v>
      </c>
      <c r="E9" s="71">
        <f>E8*Assumptions!E35</f>
        <v>1652.9374419964693</v>
      </c>
      <c r="F9" s="71">
        <f>F8*Assumptions!F35</f>
        <v>1273.6658859178019</v>
      </c>
      <c r="G9" s="71">
        <f>G8*Assumptions!G35</f>
        <v>1515.6624042421845</v>
      </c>
      <c r="H9" s="71">
        <f>H8*Assumptions!H35</f>
        <v>1722.5332075359006</v>
      </c>
      <c r="I9" s="71">
        <f>I8*Assumptions!I35</f>
        <v>1891.8567366302698</v>
      </c>
      <c r="J9" s="62" t="s">
        <v>528</v>
      </c>
      <c r="K9" s="27">
        <f>I17*(1+Assumptions!$C$86)/(Assumptions!$C$85-Assumptions!$C$86)</f>
        <v>12590.135068222435</v>
      </c>
    </row>
    <row r="10" spans="1:14" ht="15" customHeight="1" x14ac:dyDescent="0.25">
      <c r="A10" s="20" t="s">
        <v>529</v>
      </c>
      <c r="C10" s="71">
        <f>Assumptions!C36</f>
        <v>450</v>
      </c>
      <c r="D10" s="71">
        <f>Assumptions!D36</f>
        <v>420</v>
      </c>
      <c r="E10" s="71">
        <f>Assumptions!E36</f>
        <v>400</v>
      </c>
      <c r="F10" s="71">
        <f>Assumptions!F36</f>
        <v>400</v>
      </c>
      <c r="G10" s="71">
        <f>Assumptions!G36</f>
        <v>425</v>
      </c>
      <c r="H10" s="71">
        <f>Assumptions!H36</f>
        <v>450</v>
      </c>
      <c r="I10" s="71">
        <f>Assumptions!I36</f>
        <v>475</v>
      </c>
      <c r="J10" s="62" t="s">
        <v>530</v>
      </c>
      <c r="K10" s="27">
        <f>Assumptions!$C$87*I9</f>
        <v>8513.3553148362134</v>
      </c>
    </row>
    <row r="11" spans="1:14" ht="15" customHeight="1" x14ac:dyDescent="0.25">
      <c r="A11" s="20" t="s">
        <v>531</v>
      </c>
      <c r="C11" s="71">
        <f>Assumptions!C37</f>
        <v>55</v>
      </c>
      <c r="D11" s="71">
        <f>Assumptions!D37</f>
        <v>50</v>
      </c>
      <c r="E11" s="71">
        <f>Assumptions!E37</f>
        <v>45</v>
      </c>
      <c r="F11" s="71">
        <f>Assumptions!F37</f>
        <v>35</v>
      </c>
      <c r="G11" s="71">
        <f>Assumptions!G37</f>
        <v>25</v>
      </c>
      <c r="H11" s="71">
        <f>Assumptions!H37</f>
        <v>15</v>
      </c>
      <c r="I11" s="71">
        <f>Assumptions!I37</f>
        <v>10</v>
      </c>
      <c r="J11" s="62" t="s">
        <v>532</v>
      </c>
      <c r="K11" s="27">
        <f>AVERAGE(K9,K10)*I18</f>
        <v>5662.6364588757297</v>
      </c>
    </row>
    <row r="12" spans="1:14" ht="15" customHeight="1" x14ac:dyDescent="0.25">
      <c r="A12" s="20" t="s">
        <v>533</v>
      </c>
      <c r="C12" s="71">
        <f>312.8*(1-Assumptions!$B$79)+283.7*Assumptions!$B$80+C10*Assumptions!$B$81</f>
        <v>319.702</v>
      </c>
      <c r="D12" s="71">
        <f>C12*(1-Assumptions!$B$79)+C10*Assumptions!$B$80+D10*Assumptions!$B$81</f>
        <v>345.96756000000005</v>
      </c>
      <c r="E12" s="71">
        <f>D12*(1-Assumptions!$B$79)+D10*Assumptions!$B$80+E10*Assumptions!$B$81</f>
        <v>360.65469680000007</v>
      </c>
      <c r="F12" s="71">
        <f>E12*(1-Assumptions!$B$79)+E10*Assumptions!$B$80+F10*Assumptions!$B$81</f>
        <v>369.31066350400005</v>
      </c>
      <c r="G12" s="71">
        <f>F12*(1-Assumptions!$B$79)+F10*Assumptions!$B$80+G10*Assumptions!$B$81</f>
        <v>378.06231753312005</v>
      </c>
      <c r="H12" s="71">
        <f>G12*(1-Assumptions!$B$79)+G10*Assumptions!$B$80+H10*Assumptions!$B$81</f>
        <v>390.38860767583367</v>
      </c>
      <c r="I12" s="71">
        <f>H12*(1-Assumptions!$B$79)+H10*Assumptions!$B$80+I10*Assumptions!$B$81</f>
        <v>405.5031139871503</v>
      </c>
      <c r="J12" s="62" t="s">
        <v>534</v>
      </c>
      <c r="K12" s="27">
        <f>K8+K11</f>
        <v>13601.488477427129</v>
      </c>
    </row>
    <row r="13" spans="1:14" ht="15" customHeight="1" x14ac:dyDescent="0.25">
      <c r="A13" s="20" t="s">
        <v>535</v>
      </c>
      <c r="C13" s="71">
        <f t="shared" ref="C13:I13" si="0">C9-C12</f>
        <v>4687.7077382399993</v>
      </c>
      <c r="D13" s="71">
        <f t="shared" si="0"/>
        <v>3603.5660667756938</v>
      </c>
      <c r="E13" s="71">
        <f t="shared" si="0"/>
        <v>1292.2827451964693</v>
      </c>
      <c r="F13" s="71">
        <f t="shared" si="0"/>
        <v>904.35522241380181</v>
      </c>
      <c r="G13" s="71">
        <f t="shared" si="0"/>
        <v>1137.6000867090645</v>
      </c>
      <c r="H13" s="71">
        <f t="shared" si="0"/>
        <v>1332.144599860067</v>
      </c>
      <c r="I13" s="71">
        <f t="shared" si="0"/>
        <v>1486.3536226431195</v>
      </c>
      <c r="J13" s="62" t="s">
        <v>536</v>
      </c>
      <c r="K13" s="27">
        <f>K12-Total_Adj</f>
        <v>12775.888477427128</v>
      </c>
    </row>
    <row r="14" spans="1:14" ht="15" customHeight="1" x14ac:dyDescent="0.25">
      <c r="A14" s="20" t="s">
        <v>499</v>
      </c>
      <c r="C14" s="71">
        <f>C13*(1-Assumptions!C39)</f>
        <v>3562.6578810623996</v>
      </c>
      <c r="D14" s="71">
        <f>D13*(1-Assumptions!D39)</f>
        <v>2702.6745500817706</v>
      </c>
      <c r="E14" s="71">
        <f>E13*(1-Assumptions!E39)</f>
        <v>943.36640399342252</v>
      </c>
      <c r="F14" s="71">
        <f>F13*(1-Assumptions!F39)</f>
        <v>651.13576013793727</v>
      </c>
      <c r="G14" s="71">
        <f>G13*(1-Assumptions!G39)</f>
        <v>819.07206243052644</v>
      </c>
      <c r="H14" s="71">
        <f>H13*(1-Assumptions!H39)</f>
        <v>959.14411189924829</v>
      </c>
      <c r="I14" s="71">
        <f>I13*(1-Assumptions!I39)</f>
        <v>1070.1746083030459</v>
      </c>
      <c r="J14" s="72" t="s">
        <v>537</v>
      </c>
      <c r="K14" s="23">
        <f>K13*1000/Diluted_Shares</f>
        <v>23057.383132783474</v>
      </c>
    </row>
    <row r="15" spans="1:14" ht="15" customHeight="1" x14ac:dyDescent="0.25">
      <c r="A15" s="20" t="s">
        <v>538</v>
      </c>
      <c r="C15" s="71">
        <f>C8*Assumptions!C38</f>
        <v>1001.4819476480002</v>
      </c>
      <c r="D15" s="71">
        <f>D8*Assumptions!D38</f>
        <v>1063.3359764396098</v>
      </c>
      <c r="E15" s="71">
        <f>E8*Assumptions!E38</f>
        <v>767.43524092693212</v>
      </c>
      <c r="F15" s="71">
        <f>F8*Assumptions!F38</f>
        <v>689.90235487214272</v>
      </c>
      <c r="G15" s="71">
        <f>G8*Assumptions!G38</f>
        <v>649.56960181807892</v>
      </c>
      <c r="H15" s="71">
        <f>H8*Assumptions!H38</f>
        <v>689.01328301436024</v>
      </c>
      <c r="I15" s="71">
        <f>I8*Assumptions!I38</f>
        <v>732.3316399859109</v>
      </c>
      <c r="J15" s="62" t="s">
        <v>539</v>
      </c>
      <c r="K15" s="24">
        <f>K11/K12</f>
        <v>0.41632476241650868</v>
      </c>
    </row>
    <row r="16" spans="1:14" ht="15" customHeight="1" x14ac:dyDescent="0.25">
      <c r="A16" s="20" t="s">
        <v>540</v>
      </c>
      <c r="C16" s="71">
        <f>C15-'Cash Flow Model'!$D$15</f>
        <v>523.18194764800023</v>
      </c>
      <c r="D16" s="71">
        <f t="shared" ref="D16:I16" si="1">D15-C15</f>
        <v>61.854028791609608</v>
      </c>
      <c r="E16" s="71">
        <f t="shared" si="1"/>
        <v>-295.90073551267767</v>
      </c>
      <c r="F16" s="71">
        <f t="shared" si="1"/>
        <v>-77.532886054789401</v>
      </c>
      <c r="G16" s="71">
        <f t="shared" si="1"/>
        <v>-40.332753054063801</v>
      </c>
      <c r="H16" s="71">
        <f t="shared" si="1"/>
        <v>39.443681196281318</v>
      </c>
      <c r="I16" s="71">
        <f t="shared" si="1"/>
        <v>43.318356971550656</v>
      </c>
    </row>
    <row r="17" spans="1:12" ht="15" customHeight="1" x14ac:dyDescent="0.25">
      <c r="A17" s="18" t="s">
        <v>507</v>
      </c>
      <c r="C17" s="71">
        <f t="shared" ref="C17:I17" si="2">C14+C12-(C10-C11)-C16</f>
        <v>2964.1779334143994</v>
      </c>
      <c r="D17" s="71">
        <f t="shared" si="2"/>
        <v>2616.7880812901612</v>
      </c>
      <c r="E17" s="71">
        <f t="shared" si="2"/>
        <v>1244.9218363061004</v>
      </c>
      <c r="F17" s="71">
        <f t="shared" si="2"/>
        <v>732.97930969672677</v>
      </c>
      <c r="G17" s="71">
        <f t="shared" si="2"/>
        <v>837.46713301771035</v>
      </c>
      <c r="H17" s="71">
        <f t="shared" si="2"/>
        <v>875.08903837880064</v>
      </c>
      <c r="I17" s="71">
        <f t="shared" si="2"/>
        <v>967.35936531864559</v>
      </c>
    </row>
    <row r="18" spans="1:12" ht="15" customHeight="1" x14ac:dyDescent="0.25">
      <c r="A18" s="20" t="s">
        <v>541</v>
      </c>
      <c r="C18" s="73">
        <f>1/(1+Assumptions!$C$85)^1</f>
        <v>0.91492377294674043</v>
      </c>
      <c r="D18" s="73">
        <f>1/(1+Assumptions!$C$85)^2</f>
        <v>0.83708551030309875</v>
      </c>
      <c r="E18" s="73">
        <f>1/(1+Assumptions!$C$85)^3</f>
        <v>0.76586943336555868</v>
      </c>
      <c r="F18" s="73">
        <f>1/(1+Assumptions!$C$85)^4</f>
        <v>0.70071215155939914</v>
      </c>
      <c r="G18" s="73">
        <f>1/(1+Assumptions!$C$85)^5</f>
        <v>0.6410982054543537</v>
      </c>
      <c r="H18" s="73">
        <f>1/(1+Assumptions!$C$85)^6</f>
        <v>0.586555988963682</v>
      </c>
      <c r="I18" s="73">
        <f>1/(1+Assumptions!$C$85)^7</f>
        <v>0.53665401846715854</v>
      </c>
    </row>
    <row r="19" spans="1:12" ht="15" customHeight="1" x14ac:dyDescent="0.25">
      <c r="A19" s="20" t="s">
        <v>542</v>
      </c>
      <c r="C19" s="71">
        <f t="shared" ref="C19:I19" si="3">C17*C18</f>
        <v>2711.9968585249744</v>
      </c>
      <c r="D19" s="71">
        <f t="shared" si="3"/>
        <v>2190.4753863818414</v>
      </c>
      <c r="E19" s="71">
        <f t="shared" si="3"/>
        <v>953.44758135616394</v>
      </c>
      <c r="F19" s="71">
        <f t="shared" si="3"/>
        <v>513.60750914611663</v>
      </c>
      <c r="G19" s="71">
        <f t="shared" si="3"/>
        <v>536.8986761046566</v>
      </c>
      <c r="H19" s="71">
        <f t="shared" si="3"/>
        <v>513.28871633755489</v>
      </c>
      <c r="I19" s="71">
        <f t="shared" si="3"/>
        <v>519.13729070009117</v>
      </c>
    </row>
    <row r="21" spans="1:12" ht="15" customHeight="1" x14ac:dyDescent="0.25">
      <c r="A21" s="16" t="s">
        <v>543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5" customHeight="1" x14ac:dyDescent="0.25">
      <c r="C22" s="42" t="s">
        <v>31</v>
      </c>
      <c r="D22" s="42" t="s">
        <v>32</v>
      </c>
      <c r="E22" s="42" t="s">
        <v>46</v>
      </c>
      <c r="F22" s="42" t="s">
        <v>98</v>
      </c>
      <c r="G22" s="42" t="s">
        <v>47</v>
      </c>
      <c r="H22" s="42" t="s">
        <v>99</v>
      </c>
      <c r="I22" s="42" t="s">
        <v>100</v>
      </c>
    </row>
    <row r="23" spans="1:12" ht="15" customHeight="1" x14ac:dyDescent="0.25">
      <c r="A23" s="18" t="s">
        <v>250</v>
      </c>
      <c r="C23" s="27">
        <f>'Operating Model'!$E$7*(1+Assumptions!C43)*(1+Assumptions!C44)*(1+Assumptions!C45)*(1+Assumptions!C46)</f>
        <v>9272.9502627840011</v>
      </c>
      <c r="D23" s="27">
        <f>C23*(1+Assumptions!D43)*(1+Assumptions!D44)*(1+Assumptions!D45)*(1+Assumptions!D46)</f>
        <v>12234.359658706702</v>
      </c>
      <c r="E23" s="27">
        <f>D23*(1+Assumptions!E43)*(1+Assumptions!E44)*(1+Assumptions!E45)*(1+Assumptions!E46)</f>
        <v>12253.857364520685</v>
      </c>
      <c r="F23" s="27">
        <f>E23*(1+Assumptions!F43)*(1+Assumptions!F44)*(1+Assumptions!F45)*(1+Assumptions!F46)</f>
        <v>12457.038162278537</v>
      </c>
      <c r="G23" s="27">
        <f>F23*(1+Assumptions!G43)*(1+Assumptions!G44)*(1+Assumptions!G45)*(1+Assumptions!G46)</f>
        <v>12826.585097246932</v>
      </c>
      <c r="H23" s="27">
        <f>G23*(1+Assumptions!H43)*(1+Assumptions!H44)*(1+Assumptions!H45)*(1+Assumptions!H46)</f>
        <v>13284.578752221083</v>
      </c>
      <c r="I23" s="27">
        <f>H23*(1+Assumptions!I43)*(1+Assumptions!I44)*(1+Assumptions!I45)*(1+Assumptions!I46)</f>
        <v>13909.834637537508</v>
      </c>
      <c r="J23" s="62" t="s">
        <v>526</v>
      </c>
      <c r="K23" s="27">
        <f>SUM(C34:I34)</f>
        <v>19819.380427433662</v>
      </c>
    </row>
    <row r="24" spans="1:12" ht="15" customHeight="1" x14ac:dyDescent="0.25">
      <c r="A24" s="20" t="s">
        <v>527</v>
      </c>
      <c r="C24" s="27">
        <f>C23*Assumptions!C47</f>
        <v>7501.816762592257</v>
      </c>
      <c r="D24" s="27">
        <f>D23*Assumptions!D47</f>
        <v>8319.3645679205583</v>
      </c>
      <c r="E24" s="27">
        <f>E23*Assumptions!E47</f>
        <v>5636.7743876795157</v>
      </c>
      <c r="F24" s="27">
        <f>F23*Assumptions!F47</f>
        <v>4858.2448832886294</v>
      </c>
      <c r="G24" s="27">
        <f>G23*Assumptions!G47</f>
        <v>5002.368187926304</v>
      </c>
      <c r="H24" s="27">
        <f>H23*Assumptions!H47</f>
        <v>5313.8315008884338</v>
      </c>
      <c r="I24" s="27">
        <f>I23*Assumptions!I47</f>
        <v>5563.9338550150032</v>
      </c>
      <c r="J24" s="62" t="s">
        <v>528</v>
      </c>
      <c r="K24" s="27">
        <f>I32*(1+Assumptions!$D$86)/(Assumptions!$D$85-Assumptions!$D$86)</f>
        <v>49095.837861270193</v>
      </c>
    </row>
    <row r="25" spans="1:12" ht="15" customHeight="1" x14ac:dyDescent="0.25">
      <c r="A25" s="20" t="s">
        <v>529</v>
      </c>
      <c r="C25" s="27">
        <f>Assumptions!C48</f>
        <v>450</v>
      </c>
      <c r="D25" s="27">
        <f>Assumptions!D48</f>
        <v>480</v>
      </c>
      <c r="E25" s="27">
        <f>Assumptions!E48</f>
        <v>480</v>
      </c>
      <c r="F25" s="27">
        <f>Assumptions!F48</f>
        <v>500</v>
      </c>
      <c r="G25" s="27">
        <f>Assumptions!G48</f>
        <v>525</v>
      </c>
      <c r="H25" s="27">
        <f>Assumptions!H48</f>
        <v>550</v>
      </c>
      <c r="I25" s="27">
        <f>Assumptions!I48</f>
        <v>575</v>
      </c>
      <c r="J25" s="62" t="s">
        <v>530</v>
      </c>
      <c r="K25" s="27">
        <f>Assumptions!$D$87*I24</f>
        <v>33383.603130090021</v>
      </c>
    </row>
    <row r="26" spans="1:12" ht="15" customHeight="1" x14ac:dyDescent="0.25">
      <c r="A26" s="20" t="s">
        <v>531</v>
      </c>
      <c r="C26" s="27">
        <f>Assumptions!C49</f>
        <v>55</v>
      </c>
      <c r="D26" s="27">
        <f>Assumptions!D49</f>
        <v>55</v>
      </c>
      <c r="E26" s="27">
        <f>Assumptions!E49</f>
        <v>50</v>
      </c>
      <c r="F26" s="27">
        <f>Assumptions!F49</f>
        <v>40</v>
      </c>
      <c r="G26" s="27">
        <f>Assumptions!G49</f>
        <v>30</v>
      </c>
      <c r="H26" s="27">
        <f>Assumptions!H49</f>
        <v>20</v>
      </c>
      <c r="I26" s="27">
        <f>Assumptions!I49</f>
        <v>15</v>
      </c>
      <c r="J26" s="62" t="s">
        <v>532</v>
      </c>
      <c r="K26" s="27">
        <f>AVERAGE(K24,K25)*I33</f>
        <v>22131.461724469169</v>
      </c>
    </row>
    <row r="27" spans="1:12" ht="15" customHeight="1" x14ac:dyDescent="0.25">
      <c r="A27" s="20" t="s">
        <v>533</v>
      </c>
      <c r="C27" s="27">
        <f>312.8*(1-Assumptions!$B$79)+283.7*Assumptions!$B$80+C25*Assumptions!$B$81</f>
        <v>319.702</v>
      </c>
      <c r="D27" s="27">
        <f>C27*(1-Assumptions!$B$79)+C25*Assumptions!$B$80+D25*Assumptions!$B$81</f>
        <v>350.76756</v>
      </c>
      <c r="E27" s="27">
        <f>D27*(1-Assumptions!$B$79)+D25*Assumptions!$B$80+E25*Assumptions!$B$81</f>
        <v>379.19869679999999</v>
      </c>
      <c r="F27" s="27">
        <f>E27*(1-Assumptions!$B$79)+E25*Assumptions!$B$80+F25*Assumptions!$B$81</f>
        <v>402.97498350399997</v>
      </c>
      <c r="G27" s="27">
        <f>F27*(1-Assumptions!$B$79)+F25*Assumptions!$B$80+G25*Assumptions!$B$81</f>
        <v>426.32048713311997</v>
      </c>
      <c r="H27" s="27">
        <f>G27*(1-Assumptions!$B$79)+G25*Assumptions!$B$80+H25*Assumptions!$B$81</f>
        <v>450.02997996383357</v>
      </c>
      <c r="I27" s="27">
        <f>H27*(1-Assumptions!$B$79)+H25*Assumptions!$B$80+I25*Assumptions!$B$81</f>
        <v>474.0233843717902</v>
      </c>
      <c r="J27" s="62" t="s">
        <v>534</v>
      </c>
      <c r="K27" s="27">
        <f>K23+K26</f>
        <v>41950.842151902834</v>
      </c>
    </row>
    <row r="28" spans="1:12" ht="15" customHeight="1" x14ac:dyDescent="0.25">
      <c r="A28" s="20" t="s">
        <v>535</v>
      </c>
      <c r="C28" s="27">
        <f t="shared" ref="C28:I28" si="4">C24-C27</f>
        <v>7182.1147625922567</v>
      </c>
      <c r="D28" s="27">
        <f t="shared" si="4"/>
        <v>7968.5970079205581</v>
      </c>
      <c r="E28" s="27">
        <f t="shared" si="4"/>
        <v>5257.5756908795156</v>
      </c>
      <c r="F28" s="27">
        <f t="shared" si="4"/>
        <v>4455.2698997846292</v>
      </c>
      <c r="G28" s="27">
        <f t="shared" si="4"/>
        <v>4576.047700793184</v>
      </c>
      <c r="H28" s="27">
        <f t="shared" si="4"/>
        <v>4863.8015209246005</v>
      </c>
      <c r="I28" s="27">
        <f t="shared" si="4"/>
        <v>5089.9104706432126</v>
      </c>
      <c r="J28" s="62" t="s">
        <v>536</v>
      </c>
      <c r="K28" s="27">
        <f>K27-Total_Adj</f>
        <v>41125.242151902836</v>
      </c>
    </row>
    <row r="29" spans="1:12" ht="15" customHeight="1" x14ac:dyDescent="0.25">
      <c r="A29" s="20" t="s">
        <v>499</v>
      </c>
      <c r="C29" s="27">
        <f>C28*(1-Assumptions!C51)</f>
        <v>5314.7649243182695</v>
      </c>
      <c r="D29" s="27">
        <f>D28*(1-Assumptions!D51)</f>
        <v>5817.0758157820073</v>
      </c>
      <c r="E29" s="27">
        <f>E28*(1-Assumptions!E51)</f>
        <v>3785.4544974332512</v>
      </c>
      <c r="F29" s="27">
        <f>F28*(1-Assumptions!F51)</f>
        <v>3207.7943278449329</v>
      </c>
      <c r="G29" s="27">
        <f>G28*(1-Assumptions!G51)</f>
        <v>3294.7543445710926</v>
      </c>
      <c r="H29" s="27">
        <f>H28*(1-Assumptions!H51)</f>
        <v>3501.9370950657121</v>
      </c>
      <c r="I29" s="27">
        <f>I28*(1-Assumptions!I51)</f>
        <v>3664.7355388631131</v>
      </c>
      <c r="J29" s="72" t="s">
        <v>537</v>
      </c>
      <c r="K29" s="23">
        <f>K28*1000/Diluted_Shares</f>
        <v>74221.097530735628</v>
      </c>
    </row>
    <row r="30" spans="1:12" ht="15" customHeight="1" x14ac:dyDescent="0.25">
      <c r="A30" s="20" t="s">
        <v>538</v>
      </c>
      <c r="C30" s="27">
        <f>C23*Assumptions!C50</f>
        <v>1112.75403153408</v>
      </c>
      <c r="D30" s="27">
        <f>D23*Assumptions!D50</f>
        <v>1406.9513607512708</v>
      </c>
      <c r="E30" s="27">
        <f>E23*Assumptions!E50</f>
        <v>1347.9243100972753</v>
      </c>
      <c r="F30" s="27">
        <f>F23*Assumptions!F50</f>
        <v>1370.274197850639</v>
      </c>
      <c r="G30" s="27">
        <f>G23*Assumptions!G50</f>
        <v>1346.7914352109278</v>
      </c>
      <c r="H30" s="27">
        <f>H23*Assumptions!H50</f>
        <v>1394.8807689832136</v>
      </c>
      <c r="I30" s="27">
        <f>I23*Assumptions!I50</f>
        <v>1460.5326369414383</v>
      </c>
      <c r="J30" s="62" t="s">
        <v>539</v>
      </c>
      <c r="K30" s="24">
        <f>K26/K27</f>
        <v>0.52755703078216554</v>
      </c>
    </row>
    <row r="31" spans="1:12" ht="15" customHeight="1" x14ac:dyDescent="0.25">
      <c r="A31" s="20" t="s">
        <v>540</v>
      </c>
      <c r="C31" s="27">
        <f>C30-'Cash Flow Model'!$D$15</f>
        <v>634.45403153408006</v>
      </c>
      <c r="D31" s="27">
        <f t="shared" ref="D31:I31" si="5">D30-C30</f>
        <v>294.19732921719083</v>
      </c>
      <c r="E31" s="27">
        <f t="shared" si="5"/>
        <v>-59.027050653995502</v>
      </c>
      <c r="F31" s="27">
        <f t="shared" si="5"/>
        <v>22.349887753363646</v>
      </c>
      <c r="G31" s="27">
        <f t="shared" si="5"/>
        <v>-23.482762639711154</v>
      </c>
      <c r="H31" s="27">
        <f t="shared" si="5"/>
        <v>48.089333772285727</v>
      </c>
      <c r="I31" s="27">
        <f t="shared" si="5"/>
        <v>65.651867958224784</v>
      </c>
    </row>
    <row r="32" spans="1:12" ht="15" customHeight="1" x14ac:dyDescent="0.25">
      <c r="A32" s="18" t="s">
        <v>507</v>
      </c>
      <c r="C32" s="27">
        <f t="shared" ref="C32:I32" si="6">C29+C27-(C25-C26)-C31</f>
        <v>4605.0128927841897</v>
      </c>
      <c r="D32" s="27">
        <f t="shared" si="6"/>
        <v>5448.646046564817</v>
      </c>
      <c r="E32" s="27">
        <f t="shared" si="6"/>
        <v>3793.6802448872468</v>
      </c>
      <c r="F32" s="27">
        <f t="shared" si="6"/>
        <v>3128.4194235955692</v>
      </c>
      <c r="G32" s="27">
        <f t="shared" si="6"/>
        <v>3249.5575943439235</v>
      </c>
      <c r="H32" s="27">
        <f t="shared" si="6"/>
        <v>3373.8777412572599</v>
      </c>
      <c r="I32" s="27">
        <f t="shared" si="6"/>
        <v>3513.1070552766787</v>
      </c>
    </row>
    <row r="33" spans="1:12" ht="15" customHeight="1" x14ac:dyDescent="0.25">
      <c r="A33" s="20" t="s">
        <v>541</v>
      </c>
      <c r="C33" s="74">
        <f>1/(1+Assumptions!$D$85)^1</f>
        <v>0.91492377294674043</v>
      </c>
      <c r="D33" s="74">
        <f>1/(1+Assumptions!$D$85)^2</f>
        <v>0.83708551030309875</v>
      </c>
      <c r="E33" s="74">
        <f>1/(1+Assumptions!$D$85)^3</f>
        <v>0.76586943336555868</v>
      </c>
      <c r="F33" s="74">
        <f>1/(1+Assumptions!$D$85)^4</f>
        <v>0.70071215155939914</v>
      </c>
      <c r="G33" s="74">
        <f>1/(1+Assumptions!$D$85)^5</f>
        <v>0.6410982054543537</v>
      </c>
      <c r="H33" s="74">
        <f>1/(1+Assumptions!$D$85)^6</f>
        <v>0.586555988963682</v>
      </c>
      <c r="I33" s="74">
        <f>1/(1+Assumptions!$D$85)^7</f>
        <v>0.53665401846715854</v>
      </c>
    </row>
    <row r="34" spans="1:12" ht="15" customHeight="1" x14ac:dyDescent="0.25">
      <c r="A34" s="20" t="s">
        <v>542</v>
      </c>
      <c r="C34" s="27">
        <f t="shared" ref="C34:I34" si="7">C32*C33</f>
        <v>4213.2357703344942</v>
      </c>
      <c r="D34" s="27">
        <f t="shared" si="7"/>
        <v>4560.9826563496717</v>
      </c>
      <c r="E34" s="27">
        <f t="shared" si="7"/>
        <v>2905.4637395219097</v>
      </c>
      <c r="F34" s="27">
        <f t="shared" si="7"/>
        <v>2192.1215052878665</v>
      </c>
      <c r="G34" s="27">
        <f t="shared" si="7"/>
        <v>2083.2855422544562</v>
      </c>
      <c r="H34" s="27">
        <f t="shared" si="7"/>
        <v>1978.9681951657058</v>
      </c>
      <c r="I34" s="27">
        <f t="shared" si="7"/>
        <v>1885.3230185195557</v>
      </c>
    </row>
    <row r="36" spans="1:12" ht="15" customHeight="1" x14ac:dyDescent="0.25">
      <c r="A36" s="16" t="s">
        <v>544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5" customHeight="1" x14ac:dyDescent="0.25">
      <c r="C37" s="42" t="s">
        <v>31</v>
      </c>
      <c r="D37" s="42" t="s">
        <v>32</v>
      </c>
      <c r="E37" s="42" t="s">
        <v>46</v>
      </c>
      <c r="F37" s="42" t="s">
        <v>98</v>
      </c>
      <c r="G37" s="42" t="s">
        <v>47</v>
      </c>
      <c r="H37" s="42" t="s">
        <v>99</v>
      </c>
      <c r="I37" s="42" t="s">
        <v>100</v>
      </c>
    </row>
    <row r="38" spans="1:12" ht="15" customHeight="1" x14ac:dyDescent="0.25">
      <c r="A38" s="18" t="s">
        <v>250</v>
      </c>
      <c r="C38" s="75">
        <f>'Operating Model'!$E$7*(1+Assumptions!C55)*(1+Assumptions!C56)*(1+Assumptions!C57)*(1+Assumptions!C58)</f>
        <v>10366.227456000001</v>
      </c>
      <c r="D38" s="75">
        <f>C38*(1+Assumptions!D55)*(1+Assumptions!D56)*(1+Assumptions!D57)*(1+Assumptions!D58)</f>
        <v>15205.700743833602</v>
      </c>
      <c r="E38" s="75">
        <f>D38*(1+Assumptions!E55)*(1+Assumptions!E56)*(1+Assumptions!E57)*(1+Assumptions!E58)</f>
        <v>16751.811643685123</v>
      </c>
      <c r="F38" s="75">
        <f>E38*(1+Assumptions!F55)*(1+Assumptions!F56)*(1+Assumptions!F57)*(1+Assumptions!F58)</f>
        <v>17837.804026272908</v>
      </c>
      <c r="G38" s="75">
        <f>F38*(1+Assumptions!G55)*(1+Assumptions!G56)*(1+Assumptions!G57)*(1+Assumptions!G58)</f>
        <v>18899.570152987915</v>
      </c>
      <c r="H38" s="75">
        <f>G38*(1+Assumptions!H55)*(1+Assumptions!H56)*(1+Assumptions!H57)*(1+Assumptions!H58)</f>
        <v>19944.216946065269</v>
      </c>
      <c r="I38" s="75">
        <f>H38*(1+Assumptions!I55)*(1+Assumptions!I56)*(1+Assumptions!I57)*(1+Assumptions!I58)</f>
        <v>21100.287366581015</v>
      </c>
      <c r="J38" s="62" t="s">
        <v>526</v>
      </c>
      <c r="K38" s="27">
        <f>SUM(C49:I49)</f>
        <v>33511.558196761136</v>
      </c>
    </row>
    <row r="39" spans="1:12" ht="15" customHeight="1" x14ac:dyDescent="0.25">
      <c r="A39" s="20" t="s">
        <v>527</v>
      </c>
      <c r="C39" s="75">
        <f>C38*Assumptions!C59</f>
        <v>8707.6310630400003</v>
      </c>
      <c r="D39" s="75">
        <f>D38*Assumptions!D59</f>
        <v>12164.560595066883</v>
      </c>
      <c r="E39" s="75">
        <f>E38*Assumptions!E59</f>
        <v>11391.231917705885</v>
      </c>
      <c r="F39" s="75">
        <f>F38*Assumptions!F59</f>
        <v>10345.926335238286</v>
      </c>
      <c r="G39" s="75">
        <f>G38*Assumptions!G59</f>
        <v>9827.7764795537169</v>
      </c>
      <c r="H39" s="75">
        <f>H38*Assumptions!H59</f>
        <v>9573.2241341113295</v>
      </c>
      <c r="I39" s="75">
        <f>I38*Assumptions!I59</f>
        <v>9706.1321886272672</v>
      </c>
      <c r="J39" s="62" t="s">
        <v>528</v>
      </c>
      <c r="K39" s="27">
        <f>I47*(1+Assumptions!$E$86)/(Assumptions!$E$85-Assumptions!$E$86)</f>
        <v>96085.985281226618</v>
      </c>
    </row>
    <row r="40" spans="1:12" ht="15" customHeight="1" x14ac:dyDescent="0.25">
      <c r="A40" s="20" t="s">
        <v>529</v>
      </c>
      <c r="C40" s="75">
        <f>Assumptions!C60</f>
        <v>450</v>
      </c>
      <c r="D40" s="75">
        <f>Assumptions!D60</f>
        <v>550</v>
      </c>
      <c r="E40" s="75">
        <f>Assumptions!E60</f>
        <v>650</v>
      </c>
      <c r="F40" s="75">
        <f>Assumptions!F60</f>
        <v>700</v>
      </c>
      <c r="G40" s="75">
        <f>Assumptions!G60</f>
        <v>700</v>
      </c>
      <c r="H40" s="75">
        <f>Assumptions!H60</f>
        <v>700</v>
      </c>
      <c r="I40" s="75">
        <f>Assumptions!I60</f>
        <v>700</v>
      </c>
      <c r="J40" s="62" t="s">
        <v>530</v>
      </c>
      <c r="K40" s="27">
        <f>Assumptions!$E$87*I39</f>
        <v>72795.991414704506</v>
      </c>
    </row>
    <row r="41" spans="1:12" ht="15" customHeight="1" x14ac:dyDescent="0.25">
      <c r="A41" s="20" t="s">
        <v>531</v>
      </c>
      <c r="C41" s="75">
        <f>Assumptions!C61</f>
        <v>55</v>
      </c>
      <c r="D41" s="75">
        <f>Assumptions!D61</f>
        <v>60</v>
      </c>
      <c r="E41" s="75">
        <f>Assumptions!E61</f>
        <v>65</v>
      </c>
      <c r="F41" s="75">
        <f>Assumptions!F61</f>
        <v>60</v>
      </c>
      <c r="G41" s="75">
        <f>Assumptions!G61</f>
        <v>50</v>
      </c>
      <c r="H41" s="75">
        <f>Assumptions!H61</f>
        <v>40</v>
      </c>
      <c r="I41" s="75">
        <f>Assumptions!I61</f>
        <v>30</v>
      </c>
      <c r="J41" s="62" t="s">
        <v>532</v>
      </c>
      <c r="K41" s="27">
        <f>AVERAGE(K39,K40)*I48</f>
        <v>45315.595720274228</v>
      </c>
    </row>
    <row r="42" spans="1:12" ht="15" customHeight="1" x14ac:dyDescent="0.25">
      <c r="A42" s="20" t="s">
        <v>533</v>
      </c>
      <c r="C42" s="75">
        <f>312.8*(1-Assumptions!$B$79)+283.7*Assumptions!$B$80+C40*Assumptions!$B$81</f>
        <v>319.702</v>
      </c>
      <c r="D42" s="75">
        <f>C42*(1-Assumptions!$B$79)+C40*Assumptions!$B$80+D40*Assumptions!$B$81</f>
        <v>356.36756000000003</v>
      </c>
      <c r="E42" s="75">
        <f>D42*(1-Assumptions!$B$79)+D40*Assumptions!$B$80+E40*Assumptions!$B$81</f>
        <v>406.96669680000002</v>
      </c>
      <c r="F42" s="75">
        <f>E42*(1-Assumptions!$B$79)+E40*Assumptions!$B$80+F40*Assumptions!$B$81</f>
        <v>464.43402350400004</v>
      </c>
      <c r="G42" s="75">
        <f>F42*(1-Assumptions!$B$79)+F40*Assumptions!$B$80+G40*Assumptions!$B$81</f>
        <v>516.25853833311999</v>
      </c>
      <c r="H42" s="75">
        <f>G42*(1-Assumptions!$B$79)+G40*Assumptions!$B$80+H40*Assumptions!$B$81</f>
        <v>556.68165989983368</v>
      </c>
      <c r="I42" s="75">
        <f>H42*(1-Assumptions!$B$79)+H40*Assumptions!$B$80+I40*Assumptions!$B$81</f>
        <v>588.21169472187034</v>
      </c>
      <c r="J42" s="62" t="s">
        <v>534</v>
      </c>
      <c r="K42" s="27">
        <f>K38+K41</f>
        <v>78827.153917035364</v>
      </c>
    </row>
    <row r="43" spans="1:12" ht="15" customHeight="1" x14ac:dyDescent="0.25">
      <c r="A43" s="20" t="s">
        <v>535</v>
      </c>
      <c r="C43" s="75">
        <f t="shared" ref="C43:I43" si="8">C39-C42</f>
        <v>8387.929063040001</v>
      </c>
      <c r="D43" s="75">
        <f t="shared" si="8"/>
        <v>11808.193035066883</v>
      </c>
      <c r="E43" s="75">
        <f t="shared" si="8"/>
        <v>10984.265220905885</v>
      </c>
      <c r="F43" s="75">
        <f t="shared" si="8"/>
        <v>9881.492311734286</v>
      </c>
      <c r="G43" s="75">
        <f t="shared" si="8"/>
        <v>9311.5179412205962</v>
      </c>
      <c r="H43" s="75">
        <f t="shared" si="8"/>
        <v>9016.5424742114956</v>
      </c>
      <c r="I43" s="75">
        <f t="shared" si="8"/>
        <v>9117.9204939053961</v>
      </c>
      <c r="J43" s="62" t="s">
        <v>536</v>
      </c>
      <c r="K43" s="27">
        <f>K42-Total_Adj</f>
        <v>78001.553917035359</v>
      </c>
    </row>
    <row r="44" spans="1:12" ht="15" customHeight="1" x14ac:dyDescent="0.25">
      <c r="A44" s="20" t="s">
        <v>499</v>
      </c>
      <c r="C44" s="75">
        <f>C43*(1-Assumptions!C63)</f>
        <v>6123.1882160192008</v>
      </c>
      <c r="D44" s="75">
        <f>D43*(1-Assumptions!D63)</f>
        <v>8501.8989852481554</v>
      </c>
      <c r="E44" s="75">
        <f>E43*(1-Assumptions!E63)</f>
        <v>7908.6709590522369</v>
      </c>
      <c r="F44" s="75">
        <f>F43*(1-Assumptions!F63)</f>
        <v>7114.6744644486853</v>
      </c>
      <c r="G44" s="75">
        <f>G43*(1-Assumptions!G63)</f>
        <v>6704.2929176788293</v>
      </c>
      <c r="H44" s="75">
        <f>H43*(1-Assumptions!H63)</f>
        <v>6491.9105814322766</v>
      </c>
      <c r="I44" s="75">
        <f>I43*(1-Assumptions!I63)</f>
        <v>6564.9027556118854</v>
      </c>
      <c r="J44" s="72" t="s">
        <v>537</v>
      </c>
      <c r="K44" s="23">
        <f>K43*1000/Diluted_Shares</f>
        <v>140773.90521960356</v>
      </c>
    </row>
    <row r="45" spans="1:12" ht="15" customHeight="1" x14ac:dyDescent="0.25">
      <c r="A45" s="20" t="s">
        <v>538</v>
      </c>
      <c r="C45" s="75">
        <f>C38*Assumptions!C62</f>
        <v>1140.2850201600002</v>
      </c>
      <c r="D45" s="75">
        <f>D38*Assumptions!D62</f>
        <v>1596.5985781025281</v>
      </c>
      <c r="E45" s="75">
        <f>E38*Assumptions!E62</f>
        <v>1675.1811643685123</v>
      </c>
      <c r="F45" s="75">
        <f>F38*Assumptions!F62</f>
        <v>1783.7804026272909</v>
      </c>
      <c r="G45" s="75">
        <f>G38*Assumptions!G62</f>
        <v>1795.4591645338519</v>
      </c>
      <c r="H45" s="75">
        <f>H38*Assumptions!H62</f>
        <v>1894.7006098762006</v>
      </c>
      <c r="I45" s="75">
        <f>I38*Assumptions!I62</f>
        <v>2004.5272998251965</v>
      </c>
      <c r="J45" s="62" t="s">
        <v>539</v>
      </c>
      <c r="K45" s="24">
        <f>K41/K42</f>
        <v>0.57487291457926226</v>
      </c>
    </row>
    <row r="46" spans="1:12" ht="15" customHeight="1" x14ac:dyDescent="0.25">
      <c r="A46" s="20" t="s">
        <v>540</v>
      </c>
      <c r="C46" s="75">
        <f>C45-'Cash Flow Model'!$D$15</f>
        <v>661.9850201600002</v>
      </c>
      <c r="D46" s="75">
        <f t="shared" ref="D46:I46" si="9">D45-C45</f>
        <v>456.31355794252795</v>
      </c>
      <c r="E46" s="75">
        <f t="shared" si="9"/>
        <v>78.582586265984219</v>
      </c>
      <c r="F46" s="75">
        <f t="shared" si="9"/>
        <v>108.59923825877854</v>
      </c>
      <c r="G46" s="75">
        <f t="shared" si="9"/>
        <v>11.678761906561022</v>
      </c>
      <c r="H46" s="75">
        <f t="shared" si="9"/>
        <v>99.241445342348698</v>
      </c>
      <c r="I46" s="75">
        <f t="shared" si="9"/>
        <v>109.82668994899586</v>
      </c>
    </row>
    <row r="47" spans="1:12" ht="15" customHeight="1" x14ac:dyDescent="0.25">
      <c r="A47" s="18" t="s">
        <v>507</v>
      </c>
      <c r="C47" s="75">
        <f t="shared" ref="C47:I47" si="10">C44+C42-(C40-C41)-C46</f>
        <v>5385.9051958592008</v>
      </c>
      <c r="D47" s="75">
        <f t="shared" si="10"/>
        <v>7911.9529873056281</v>
      </c>
      <c r="E47" s="75">
        <f t="shared" si="10"/>
        <v>7652.055069586253</v>
      </c>
      <c r="F47" s="75">
        <f t="shared" si="10"/>
        <v>6830.5092496939069</v>
      </c>
      <c r="G47" s="75">
        <f t="shared" si="10"/>
        <v>6558.8726941053883</v>
      </c>
      <c r="H47" s="75">
        <f t="shared" si="10"/>
        <v>6289.3507959897615</v>
      </c>
      <c r="I47" s="75">
        <f t="shared" si="10"/>
        <v>6373.2877603847592</v>
      </c>
    </row>
    <row r="48" spans="1:12" ht="15" customHeight="1" x14ac:dyDescent="0.25">
      <c r="A48" s="20" t="s">
        <v>541</v>
      </c>
      <c r="C48" s="76">
        <f>1/(1+Assumptions!$E$85)^1</f>
        <v>0.91492377294674043</v>
      </c>
      <c r="D48" s="76">
        <f>1/(1+Assumptions!$E$85)^2</f>
        <v>0.83708551030309875</v>
      </c>
      <c r="E48" s="76">
        <f>1/(1+Assumptions!$E$85)^3</f>
        <v>0.76586943336555868</v>
      </c>
      <c r="F48" s="76">
        <f>1/(1+Assumptions!$E$85)^4</f>
        <v>0.70071215155939914</v>
      </c>
      <c r="G48" s="76">
        <f>1/(1+Assumptions!$E$85)^5</f>
        <v>0.6410982054543537</v>
      </c>
      <c r="H48" s="76">
        <f>1/(1+Assumptions!$E$85)^6</f>
        <v>0.586555988963682</v>
      </c>
      <c r="I48" s="76">
        <f>1/(1+Assumptions!$E$85)^7</f>
        <v>0.53665401846715854</v>
      </c>
    </row>
    <row r="49" spans="1:12" ht="15" customHeight="1" x14ac:dyDescent="0.25">
      <c r="A49" s="20" t="s">
        <v>542</v>
      </c>
      <c r="C49" s="75">
        <f t="shared" ref="C49:I49" si="11">C47*C48</f>
        <v>4927.6927025289533</v>
      </c>
      <c r="D49" s="75">
        <f t="shared" si="11"/>
        <v>6622.9812038728578</v>
      </c>
      <c r="E49" s="75">
        <f t="shared" si="11"/>
        <v>5860.4750802260742</v>
      </c>
      <c r="F49" s="75">
        <f t="shared" si="11"/>
        <v>4786.2208325993943</v>
      </c>
      <c r="G49" s="75">
        <f t="shared" si="11"/>
        <v>4204.8815139945264</v>
      </c>
      <c r="H49" s="75">
        <f t="shared" si="11"/>
        <v>3689.0563760812952</v>
      </c>
      <c r="I49" s="75">
        <f t="shared" si="11"/>
        <v>3420.2504874580382</v>
      </c>
    </row>
    <row r="51" spans="1:12" ht="15" customHeight="1" x14ac:dyDescent="0.25">
      <c r="A51" s="16" t="s">
        <v>545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ht="34.5" customHeight="1" x14ac:dyDescent="0.25">
      <c r="A52" s="65" t="s">
        <v>181</v>
      </c>
      <c r="B52" s="65" t="s">
        <v>546</v>
      </c>
      <c r="C52" s="65" t="s">
        <v>547</v>
      </c>
      <c r="D52" s="65" t="s">
        <v>548</v>
      </c>
      <c r="E52" s="65" t="s">
        <v>549</v>
      </c>
      <c r="F52" s="65" t="s">
        <v>550</v>
      </c>
      <c r="G52" s="65" t="s">
        <v>551</v>
      </c>
    </row>
    <row r="53" spans="1:12" ht="15" customHeight="1" x14ac:dyDescent="0.25">
      <c r="A53" s="18" t="s">
        <v>127</v>
      </c>
      <c r="B53" s="77">
        <f>Assumptions!C88</f>
        <v>0.25</v>
      </c>
      <c r="C53" s="21">
        <f>K14</f>
        <v>23057.383132783474</v>
      </c>
      <c r="D53" s="71">
        <f>D8</f>
        <v>7595.2569745686415</v>
      </c>
      <c r="E53" s="71">
        <f>D9</f>
        <v>3949.5336267756938</v>
      </c>
      <c r="F53" s="71">
        <f>I9</f>
        <v>1891.8567366302698</v>
      </c>
      <c r="G53" s="77">
        <f>C53/Share_Price-1</f>
        <v>-0.7160420796455238</v>
      </c>
    </row>
    <row r="54" spans="1:12" ht="15" customHeight="1" x14ac:dyDescent="0.25">
      <c r="A54" s="18" t="s">
        <v>128</v>
      </c>
      <c r="B54" s="24">
        <f>Assumptions!D88</f>
        <v>0.5</v>
      </c>
      <c r="C54" s="19">
        <f>K29</f>
        <v>74221.097530735628</v>
      </c>
      <c r="D54" s="27">
        <f>D23</f>
        <v>12234.359658706702</v>
      </c>
      <c r="E54" s="27">
        <f>D24</f>
        <v>8319.3645679205583</v>
      </c>
      <c r="F54" s="27">
        <f>I24</f>
        <v>5563.9338550150032</v>
      </c>
      <c r="G54" s="24">
        <f>C54/Share_Price-1</f>
        <v>-8.5947074744635144E-2</v>
      </c>
    </row>
    <row r="55" spans="1:12" ht="15" customHeight="1" x14ac:dyDescent="0.25">
      <c r="A55" s="18" t="s">
        <v>129</v>
      </c>
      <c r="B55" s="78">
        <f>Assumptions!E88</f>
        <v>0.25</v>
      </c>
      <c r="C55" s="22">
        <f>K44</f>
        <v>140773.90521960356</v>
      </c>
      <c r="D55" s="75">
        <f>D38</f>
        <v>15205.700743833602</v>
      </c>
      <c r="E55" s="75">
        <f>D39</f>
        <v>12164.560595066883</v>
      </c>
      <c r="F55" s="75">
        <f>I39</f>
        <v>9706.1321886272672</v>
      </c>
      <c r="G55" s="78">
        <f>C55/Share_Price-1</f>
        <v>0.73366878349265474</v>
      </c>
    </row>
    <row r="56" spans="1:12" ht="15" customHeight="1" x14ac:dyDescent="0.25">
      <c r="A56" s="18" t="s">
        <v>21</v>
      </c>
      <c r="B56" s="24">
        <f>SUM(B53:B55)</f>
        <v>1</v>
      </c>
      <c r="C56" s="23">
        <f>SUMPRODUCT(B53:B55,C53:C55)</f>
        <v>78068.37085346457</v>
      </c>
      <c r="G56" s="24">
        <f>C56/Share_Price-1</f>
        <v>-3.8566861410534892E-2</v>
      </c>
    </row>
    <row r="58" spans="1:12" ht="15" customHeight="1" x14ac:dyDescent="0.25">
      <c r="A58" s="35" t="s">
        <v>552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9"/>
  <sheetViews>
    <sheetView showGridLines="0" zoomScaleNormal="100" workbookViewId="0"/>
  </sheetViews>
  <sheetFormatPr defaultColWidth="8.7109375" defaultRowHeight="15" x14ac:dyDescent="0.25"/>
  <cols>
    <col min="1" max="1" width="46" style="1" customWidth="1"/>
    <col min="2" max="2" width="4" style="1" customWidth="1"/>
    <col min="3" max="9" width="11" style="1" customWidth="1"/>
    <col min="10" max="10" width="2" style="1" customWidth="1"/>
    <col min="11" max="11" width="56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553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554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555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C6" s="42" t="s">
        <v>31</v>
      </c>
      <c r="D6" s="42" t="s">
        <v>32</v>
      </c>
      <c r="E6" s="42" t="s">
        <v>46</v>
      </c>
      <c r="F6" s="42" t="s">
        <v>98</v>
      </c>
      <c r="G6" s="42" t="s">
        <v>47</v>
      </c>
      <c r="H6" s="42" t="s">
        <v>99</v>
      </c>
      <c r="I6" s="42" t="s">
        <v>100</v>
      </c>
    </row>
    <row r="7" spans="1:14" ht="15" customHeight="1" x14ac:dyDescent="0.25">
      <c r="A7" s="18" t="s">
        <v>556</v>
      </c>
      <c r="C7" s="27">
        <f>'Cash Flow Model'!E17</f>
        <v>4605.0128927841897</v>
      </c>
      <c r="D7" s="27">
        <f>'Cash Flow Model'!F17</f>
        <v>5448.646046564817</v>
      </c>
      <c r="E7" s="27">
        <f>'Cash Flow Model'!G17</f>
        <v>3793.6802448872468</v>
      </c>
      <c r="F7" s="27">
        <f>'Cash Flow Model'!H17</f>
        <v>3128.4194235955692</v>
      </c>
      <c r="G7" s="27">
        <f>'Cash Flow Model'!I17</f>
        <v>3249.5575943439235</v>
      </c>
      <c r="H7" s="27">
        <f>'Cash Flow Model'!J17</f>
        <v>3373.8777412572599</v>
      </c>
      <c r="I7" s="27">
        <f>'Cash Flow Model'!K17</f>
        <v>3513.1070552766787</v>
      </c>
    </row>
    <row r="8" spans="1:14" ht="15" customHeight="1" x14ac:dyDescent="0.25">
      <c r="A8" s="20" t="s">
        <v>557</v>
      </c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</row>
    <row r="9" spans="1:14" ht="15" customHeight="1" x14ac:dyDescent="0.25">
      <c r="A9" s="20" t="s">
        <v>541</v>
      </c>
      <c r="C9" s="74">
        <f t="shared" ref="C9:I9" si="0">1/(1+WACC_Active)^C8</f>
        <v>0.91492377294674043</v>
      </c>
      <c r="D9" s="74">
        <f t="shared" si="0"/>
        <v>0.83708551030309875</v>
      </c>
      <c r="E9" s="74">
        <f t="shared" si="0"/>
        <v>0.76586943336555868</v>
      </c>
      <c r="F9" s="74">
        <f t="shared" si="0"/>
        <v>0.70071215155939914</v>
      </c>
      <c r="G9" s="74">
        <f t="shared" si="0"/>
        <v>0.6410982054543537</v>
      </c>
      <c r="H9" s="74">
        <f t="shared" si="0"/>
        <v>0.586555988963682</v>
      </c>
      <c r="I9" s="74">
        <f t="shared" si="0"/>
        <v>0.53665401846715854</v>
      </c>
    </row>
    <row r="10" spans="1:14" ht="15" customHeight="1" x14ac:dyDescent="0.25">
      <c r="A10" s="18" t="s">
        <v>542</v>
      </c>
      <c r="C10" s="27">
        <f t="shared" ref="C10:I10" si="1">C7*C9</f>
        <v>4213.2357703344942</v>
      </c>
      <c r="D10" s="27">
        <f t="shared" si="1"/>
        <v>4560.9826563496717</v>
      </c>
      <c r="E10" s="27">
        <f t="shared" si="1"/>
        <v>2905.4637395219097</v>
      </c>
      <c r="F10" s="27">
        <f t="shared" si="1"/>
        <v>2192.1215052878665</v>
      </c>
      <c r="G10" s="27">
        <f t="shared" si="1"/>
        <v>2083.2855422544562</v>
      </c>
      <c r="H10" s="27">
        <f t="shared" si="1"/>
        <v>1978.9681951657058</v>
      </c>
      <c r="I10" s="27">
        <f t="shared" si="1"/>
        <v>1885.3230185195557</v>
      </c>
    </row>
    <row r="12" spans="1:14" ht="15" customHeight="1" x14ac:dyDescent="0.25">
      <c r="A12" s="18" t="s">
        <v>558</v>
      </c>
      <c r="C12" s="27">
        <f>SUM(C10:I10)</f>
        <v>19819.380427433662</v>
      </c>
    </row>
    <row r="14" spans="1:14" ht="15" customHeight="1" x14ac:dyDescent="0.25">
      <c r="A14" s="16" t="s">
        <v>559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4" ht="15" customHeight="1" x14ac:dyDescent="0.25">
      <c r="A15" s="20" t="s">
        <v>560</v>
      </c>
      <c r="C15" s="27">
        <f>I7</f>
        <v>3513.1070552766787</v>
      </c>
    </row>
    <row r="16" spans="1:14" ht="15" customHeight="1" x14ac:dyDescent="0.25">
      <c r="A16" s="20" t="s">
        <v>561</v>
      </c>
      <c r="C16" s="24">
        <f>TG_Active</f>
        <v>0.02</v>
      </c>
    </row>
    <row r="17" spans="1:12" ht="15" customHeight="1" x14ac:dyDescent="0.25">
      <c r="A17" s="20" t="s">
        <v>562</v>
      </c>
      <c r="C17" s="24">
        <f>WACC_Active</f>
        <v>9.2987229722155201E-2</v>
      </c>
    </row>
    <row r="18" spans="1:12" ht="15" customHeight="1" x14ac:dyDescent="0.25">
      <c r="A18" s="20" t="s">
        <v>563</v>
      </c>
      <c r="C18" s="27">
        <f>C15*(1+C16)/(C17-C16)</f>
        <v>49095.837861270193</v>
      </c>
    </row>
    <row r="19" spans="1:12" ht="15" customHeight="1" x14ac:dyDescent="0.25">
      <c r="A19" s="20" t="s">
        <v>564</v>
      </c>
      <c r="C19" s="27">
        <f>C18*I9</f>
        <v>26347.478678262716</v>
      </c>
    </row>
    <row r="21" spans="1:12" ht="15" customHeight="1" x14ac:dyDescent="0.25">
      <c r="A21" s="16" t="s">
        <v>565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5" customHeight="1" x14ac:dyDescent="0.25">
      <c r="A22" s="20" t="s">
        <v>566</v>
      </c>
      <c r="C22" s="27">
        <f>'Operating Model'!L15</f>
        <v>5563.9338550150032</v>
      </c>
    </row>
    <row r="23" spans="1:12" ht="15" customHeight="1" x14ac:dyDescent="0.25">
      <c r="A23" s="20" t="s">
        <v>567</v>
      </c>
      <c r="C23" s="32">
        <f>Exit_Mult_Active</f>
        <v>6</v>
      </c>
    </row>
    <row r="24" spans="1:12" ht="15" customHeight="1" x14ac:dyDescent="0.25">
      <c r="A24" s="20" t="s">
        <v>568</v>
      </c>
      <c r="C24" s="27">
        <f>C22*C23</f>
        <v>33383.603130090021</v>
      </c>
    </row>
    <row r="25" spans="1:12" ht="15" customHeight="1" x14ac:dyDescent="0.25">
      <c r="A25" s="20" t="s">
        <v>564</v>
      </c>
      <c r="C25" s="27">
        <f>C24*I9</f>
        <v>17915.444770675622</v>
      </c>
    </row>
    <row r="26" spans="1:12" ht="15" customHeight="1" x14ac:dyDescent="0.25">
      <c r="A26" s="35" t="s">
        <v>569</v>
      </c>
    </row>
    <row r="28" spans="1:12" ht="15" customHeight="1" x14ac:dyDescent="0.25">
      <c r="A28" s="16" t="s">
        <v>570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5" customHeight="1" x14ac:dyDescent="0.25">
      <c r="A29" s="20" t="s">
        <v>526</v>
      </c>
      <c r="C29" s="27">
        <f>C12</f>
        <v>19819.380427433662</v>
      </c>
    </row>
    <row r="30" spans="1:12" ht="15" customHeight="1" x14ac:dyDescent="0.25">
      <c r="A30" s="20" t="s">
        <v>571</v>
      </c>
      <c r="C30" s="27">
        <f>AVERAGE(C19,C25)</f>
        <v>22131.461724469169</v>
      </c>
    </row>
    <row r="31" spans="1:12" ht="15" customHeight="1" x14ac:dyDescent="0.25">
      <c r="A31" s="18" t="s">
        <v>534</v>
      </c>
      <c r="C31" s="27">
        <f>C29+C30</f>
        <v>41950.842151902834</v>
      </c>
    </row>
    <row r="32" spans="1:12" ht="15" customHeight="1" x14ac:dyDescent="0.25">
      <c r="A32" s="20" t="s">
        <v>572</v>
      </c>
      <c r="C32" s="27">
        <f>-Net_Debt</f>
        <v>-576.89999999999986</v>
      </c>
    </row>
    <row r="33" spans="1:12" ht="15" customHeight="1" x14ac:dyDescent="0.25">
      <c r="A33" s="20" t="s">
        <v>573</v>
      </c>
      <c r="C33" s="27">
        <f>-Assumptions!B19</f>
        <v>-205.6</v>
      </c>
    </row>
    <row r="34" spans="1:12" ht="15" customHeight="1" x14ac:dyDescent="0.25">
      <c r="A34" s="20" t="s">
        <v>574</v>
      </c>
      <c r="C34" s="27">
        <f>-Assumptions!B20</f>
        <v>-0.2</v>
      </c>
    </row>
    <row r="35" spans="1:12" ht="15" customHeight="1" x14ac:dyDescent="0.25">
      <c r="A35" s="20" t="s">
        <v>575</v>
      </c>
      <c r="C35" s="27">
        <f>-Assumptions!B21</f>
        <v>-42.9</v>
      </c>
    </row>
    <row r="36" spans="1:12" ht="15" customHeight="1" x14ac:dyDescent="0.25">
      <c r="A36" s="18" t="s">
        <v>576</v>
      </c>
      <c r="C36" s="27">
        <f>SUM(C31:C35)</f>
        <v>41125.242151902836</v>
      </c>
    </row>
    <row r="37" spans="1:12" ht="15" customHeight="1" x14ac:dyDescent="0.25">
      <c r="A37" s="20" t="s">
        <v>73</v>
      </c>
      <c r="C37" s="79">
        <f>Diluted_Shares</f>
        <v>554.09100000000001</v>
      </c>
    </row>
    <row r="38" spans="1:12" ht="15" customHeight="1" x14ac:dyDescent="0.25">
      <c r="A38" s="18" t="s">
        <v>577</v>
      </c>
      <c r="C38" s="23">
        <f>C36*1000/C37</f>
        <v>74221.097530735628</v>
      </c>
    </row>
    <row r="39" spans="1:12" ht="15" customHeight="1" x14ac:dyDescent="0.25">
      <c r="A39" s="20" t="s">
        <v>578</v>
      </c>
      <c r="C39" s="24">
        <f>C30/C31</f>
        <v>0.52755703078216554</v>
      </c>
    </row>
    <row r="40" spans="1:12" ht="15" customHeight="1" x14ac:dyDescent="0.25">
      <c r="A40" s="20" t="s">
        <v>579</v>
      </c>
      <c r="C40" s="67" t="str">
        <f>IF(C39&gt;0.75,"CHECK — excessive TV dependence","OK")</f>
        <v>OK</v>
      </c>
    </row>
    <row r="41" spans="1:12" ht="15" customHeight="1" x14ac:dyDescent="0.25">
      <c r="A41" s="20" t="s">
        <v>580</v>
      </c>
      <c r="C41" s="24">
        <f>C38/Share_Price-1</f>
        <v>-8.5947074744635144E-2</v>
      </c>
    </row>
    <row r="43" spans="1:12" ht="15" customHeight="1" x14ac:dyDescent="0.25">
      <c r="A43" s="16" t="s">
        <v>581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12" ht="15" customHeight="1" x14ac:dyDescent="0.25">
      <c r="A44" s="20" t="s">
        <v>127</v>
      </c>
      <c r="C44" s="21">
        <f>'Scenario Analysis'!K14</f>
        <v>23057.383132783474</v>
      </c>
      <c r="D44" s="77">
        <f>C44/Share_Price-1</f>
        <v>-0.7160420796455238</v>
      </c>
    </row>
    <row r="45" spans="1:12" ht="15" customHeight="1" x14ac:dyDescent="0.25">
      <c r="A45" s="20" t="s">
        <v>128</v>
      </c>
      <c r="C45" s="19">
        <f>'Scenario Analysis'!K29</f>
        <v>74221.097530735628</v>
      </c>
      <c r="D45" s="24">
        <f>C45/Share_Price-1</f>
        <v>-8.5947074744635144E-2</v>
      </c>
    </row>
    <row r="46" spans="1:12" ht="15" customHeight="1" x14ac:dyDescent="0.25">
      <c r="A46" s="20" t="s">
        <v>129</v>
      </c>
      <c r="C46" s="22">
        <f>'Scenario Analysis'!K44</f>
        <v>140773.90521960356</v>
      </c>
      <c r="D46" s="78">
        <f>C46/Share_Price-1</f>
        <v>0.73366878349265474</v>
      </c>
    </row>
    <row r="47" spans="1:12" ht="15" customHeight="1" x14ac:dyDescent="0.25">
      <c r="A47" s="18" t="s">
        <v>582</v>
      </c>
      <c r="C47" s="23">
        <f>'Scenario Analysis'!C56</f>
        <v>78068.37085346457</v>
      </c>
      <c r="D47" s="80">
        <f>C47/Share_Price-1</f>
        <v>-3.8566861410534892E-2</v>
      </c>
    </row>
    <row r="49" spans="1:1" ht="15" customHeight="1" x14ac:dyDescent="0.25">
      <c r="A49" s="35" t="s">
        <v>583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3"/>
  <sheetViews>
    <sheetView showGridLines="0" zoomScaleNormal="100" workbookViewId="0"/>
  </sheetViews>
  <sheetFormatPr defaultColWidth="8.7109375" defaultRowHeight="15" x14ac:dyDescent="0.25"/>
  <cols>
    <col min="1" max="1" width="4" style="1" customWidth="1"/>
    <col min="2" max="2" width="13" style="1" customWidth="1"/>
    <col min="3" max="9" width="11" style="1" customWidth="1"/>
    <col min="10" max="10" width="2" style="1" customWidth="1"/>
    <col min="11" max="11" width="60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584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585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586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B6" s="81" t="s">
        <v>587</v>
      </c>
    </row>
    <row r="7" spans="1:14" ht="15" customHeight="1" x14ac:dyDescent="0.25">
      <c r="C7" s="52">
        <v>0.01</v>
      </c>
      <c r="D7" s="52">
        <v>1.2500000000000001E-2</v>
      </c>
      <c r="E7" s="52">
        <v>1.4999999999999999E-2</v>
      </c>
      <c r="F7" s="52">
        <v>1.7500000000000002E-2</v>
      </c>
      <c r="G7" s="52">
        <v>0.02</v>
      </c>
      <c r="H7" s="52">
        <v>2.2499999999999999E-2</v>
      </c>
      <c r="I7" s="52">
        <v>2.5000000000000001E-2</v>
      </c>
    </row>
    <row r="8" spans="1:14" ht="15" customHeight="1" x14ac:dyDescent="0.25">
      <c r="B8" s="52">
        <v>8.5000000000000006E-2</v>
      </c>
      <c r="C8" s="19">
        <f>(SUMPRODUCT('Cash Flow Model'!$E$17:$K$17,1/(1+$B8)^$C$60:$I$60)+('Cash Flow Model'!$K$17*(1+C$7)/($B8-C$7))/(1+$B8)^7-Total_Adj)*1000/Diluted_Shares</f>
        <v>83406.608055542252</v>
      </c>
      <c r="D8" s="19">
        <f>(SUMPRODUCT('Cash Flow Model'!$E$17:$K$17,1/(1+$B8)^$C$60:$I$60)+('Cash Flow Model'!$K$17*(1+D$7)/($B8-D$7))/(1+$B8)^7-Total_Adj)*1000/Diluted_Shares</f>
        <v>85193.394289475618</v>
      </c>
      <c r="E8" s="19">
        <f>(SUMPRODUCT('Cash Flow Model'!$E$17:$K$17,1/(1+$B8)^$C$60:$I$60)+('Cash Flow Model'!$K$17*(1+E$7)/($B8-E$7))/(1+$B8)^7-Total_Adj)*1000/Diluted_Shares</f>
        <v>87107.8081115471</v>
      </c>
      <c r="F8" s="19">
        <f>(SUMPRODUCT('Cash Flow Model'!$E$17:$K$17,1/(1+$B8)^$C$60:$I$60)+('Cash Flow Model'!$K$17*(1+F$7)/($B8-F$7))/(1+$B8)^7-Total_Adj)*1000/Diluted_Shares</f>
        <v>89164.030364883161</v>
      </c>
      <c r="G8" s="19">
        <f>(SUMPRODUCT('Cash Flow Model'!$E$17:$K$17,1/(1+$B8)^$C$60:$I$60)+('Cash Flow Model'!$K$17*(1+G$7)/($B8-G$7))/(1+$B8)^7-Total_Adj)*1000/Diluted_Shares</f>
        <v>91378.4235607835</v>
      </c>
      <c r="H8" s="19">
        <f>(SUMPRODUCT('Cash Flow Model'!$E$17:$K$17,1/(1+$B8)^$C$60:$I$60)+('Cash Flow Model'!$K$17*(1+H$7)/($B8-H$7))/(1+$B8)^7-Total_Adj)*1000/Diluted_Shares</f>
        <v>93769.968212355874</v>
      </c>
      <c r="I8" s="19">
        <f>(SUMPRODUCT('Cash Flow Model'!$E$17:$K$17,1/(1+$B8)^$C$60:$I$60)+('Cash Flow Model'!$K$17*(1+I$7)/($B8-I$7))/(1+$B8)^7-Total_Adj)*1000/Diluted_Shares</f>
        <v>96360.808251559283</v>
      </c>
    </row>
    <row r="9" spans="1:14" ht="15" customHeight="1" x14ac:dyDescent="0.25">
      <c r="B9" s="52">
        <v>0.09</v>
      </c>
      <c r="C9" s="19">
        <f>(SUMPRODUCT('Cash Flow Model'!$E$17:$K$17,1/(1+$B9)^$C$60:$I$60)+('Cash Flow Model'!$K$17*(1+C$7)/($B9-C$7))/(1+$B9)^7-Total_Adj)*1000/Diluted_Shares</f>
        <v>78396.827755188409</v>
      </c>
      <c r="D9" s="19">
        <f>(SUMPRODUCT('Cash Flow Model'!$E$17:$K$17,1/(1+$B9)^$C$60:$I$60)+('Cash Flow Model'!$K$17*(1+D$7)/($B9-D$7))/(1+$B9)^7-Total_Adj)*1000/Diluted_Shares</f>
        <v>79921.230140887681</v>
      </c>
      <c r="E9" s="19">
        <f>(SUMPRODUCT('Cash Flow Model'!$E$17:$K$17,1/(1+$B9)^$C$60:$I$60)+('Cash Flow Model'!$K$17*(1+E$7)/($B9-E$7))/(1+$B9)^7-Total_Adj)*1000/Diluted_Shares</f>
        <v>81547.259352300229</v>
      </c>
      <c r="F9" s="19">
        <f>(SUMPRODUCT('Cash Flow Model'!$E$17:$K$17,1/(1+$B9)^$C$60:$I$60)+('Cash Flow Model'!$K$17*(1+F$7)/($B9-F$7))/(1+$B9)^7-Total_Adj)*1000/Diluted_Shares</f>
        <v>83285.428509327437</v>
      </c>
      <c r="G9" s="19">
        <f>(SUMPRODUCT('Cash Flow Model'!$E$17:$K$17,1/(1+$B9)^$C$60:$I$60)+('Cash Flow Model'!$K$17*(1+G$7)/($B9-G$7))/(1+$B9)^7-Total_Adj)*1000/Diluted_Shares</f>
        <v>85147.752606142327</v>
      </c>
      <c r="H9" s="19">
        <f>(SUMPRODUCT('Cash Flow Model'!$E$17:$K$17,1/(1+$B9)^$C$60:$I$60)+('Cash Flow Model'!$K$17*(1+H$7)/($B9-H$7))/(1+$B9)^7-Total_Adj)*1000/Diluted_Shares</f>
        <v>87148.02663605455</v>
      </c>
      <c r="I9" s="19">
        <f>(SUMPRODUCT('Cash Flow Model'!$E$17:$K$17,1/(1+$B9)^$C$60:$I$60)+('Cash Flow Model'!$K$17*(1+I$7)/($B9-I$7))/(1+$B9)^7-Total_Adj)*1000/Diluted_Shares</f>
        <v>89302.167899036984</v>
      </c>
    </row>
    <row r="10" spans="1:14" ht="15" customHeight="1" x14ac:dyDescent="0.25">
      <c r="B10" s="52">
        <v>9.5000000000000001E-2</v>
      </c>
      <c r="C10" s="19">
        <f>(SUMPRODUCT('Cash Flow Model'!$E$17:$K$17,1/(1+$B10)^$C$60:$I$60)+('Cash Flow Model'!$K$17*(1+C$7)/($B10-C$7))/(1+$B10)^7-Total_Adj)*1000/Diluted_Shares</f>
        <v>73972.868084038841</v>
      </c>
      <c r="D10" s="19">
        <f>(SUMPRODUCT('Cash Flow Model'!$E$17:$K$17,1/(1+$B10)^$C$60:$I$60)+('Cash Flow Model'!$K$17*(1+D$7)/($B10-D$7))/(1+$B10)^7-Total_Adj)*1000/Diluted_Shares</f>
        <v>75284.139842229139</v>
      </c>
      <c r="E10" s="19">
        <f>(SUMPRODUCT('Cash Flow Model'!$E$17:$K$17,1/(1+$B10)^$C$60:$I$60)+('Cash Flow Model'!$K$17*(1+E$7)/($B10-E$7))/(1+$B10)^7-Total_Adj)*1000/Diluted_Shares</f>
        <v>76677.366085306334</v>
      </c>
      <c r="F10" s="19">
        <f>(SUMPRODUCT('Cash Flow Model'!$E$17:$K$17,1/(1+$B10)^$C$60:$I$60)+('Cash Flow Model'!$K$17*(1+F$7)/($B10-F$7))/(1+$B10)^7-Total_Adj)*1000/Diluted_Shares</f>
        <v>78160.47789245304</v>
      </c>
      <c r="G10" s="19">
        <f>(SUMPRODUCT('Cash Flow Model'!$E$17:$K$17,1/(1+$B10)^$C$60:$I$60)+('Cash Flow Model'!$K$17*(1+G$7)/($B10-G$7))/(1+$B10)^7-Total_Adj)*1000/Diluted_Shares</f>
        <v>79742.463820076169</v>
      </c>
      <c r="H10" s="19">
        <f>(SUMPRODUCT('Cash Flow Model'!$E$17:$K$17,1/(1+$B10)^$C$60:$I$60)+('Cash Flow Model'!$K$17*(1+H$7)/($B10-H$7))/(1+$B10)^7-Total_Adj)*1000/Diluted_Shares</f>
        <v>81433.552225466396</v>
      </c>
      <c r="I10" s="19">
        <f>(SUMPRODUCT('Cash Flow Model'!$E$17:$K$17,1/(1+$B10)^$C$60:$I$60)+('Cash Flow Model'!$K$17*(1+I$7)/($B10-I$7))/(1+$B10)^7-Total_Adj)*1000/Diluted_Shares</f>
        <v>83245.432659813072</v>
      </c>
    </row>
    <row r="11" spans="1:14" ht="15" customHeight="1" x14ac:dyDescent="0.25">
      <c r="B11" s="52">
        <v>0.1</v>
      </c>
      <c r="C11" s="19">
        <f>(SUMPRODUCT('Cash Flow Model'!$E$17:$K$17,1/(1+$B11)^$C$60:$I$60)+('Cash Flow Model'!$K$17*(1+C$7)/($B11-C$7))/(1+$B11)^7-Total_Adj)*1000/Diluted_Shares</f>
        <v>70037.13368222829</v>
      </c>
      <c r="D11" s="19">
        <f>(SUMPRODUCT('Cash Flow Model'!$E$17:$K$17,1/(1+$B11)^$C$60:$I$60)+('Cash Flow Model'!$K$17*(1+D$7)/($B11-D$7))/(1+$B11)^7-Total_Adj)*1000/Diluted_Shares</f>
        <v>71173.304482086111</v>
      </c>
      <c r="E11" s="19">
        <f>(SUMPRODUCT('Cash Flow Model'!$E$17:$K$17,1/(1+$B11)^$C$60:$I$60)+('Cash Flow Model'!$K$17*(1+E$7)/($B11-E$7))/(1+$B11)^7-Total_Adj)*1000/Diluted_Shares</f>
        <v>72376.308858406162</v>
      </c>
      <c r="F11" s="19">
        <f>(SUMPRODUCT('Cash Flow Model'!$E$17:$K$17,1/(1+$B11)^$C$60:$I$60)+('Cash Flow Model'!$K$17*(1+F$7)/($B11-F$7))/(1+$B11)^7-Total_Adj)*1000/Diluted_Shares</f>
        <v>73652.222590866819</v>
      </c>
      <c r="G11" s="19">
        <f>(SUMPRODUCT('Cash Flow Model'!$E$17:$K$17,1/(1+$B11)^$C$60:$I$60)+('Cash Flow Model'!$K$17*(1+G$7)/($B11-G$7))/(1+$B11)^7-Total_Adj)*1000/Diluted_Shares</f>
        <v>75007.880931606298</v>
      </c>
      <c r="H11" s="19">
        <f>(SUMPRODUCT('Cash Flow Model'!$E$17:$K$17,1/(1+$B11)^$C$60:$I$60)+('Cash Flow Model'!$K$17*(1+H$7)/($B11-H$7))/(1+$B11)^7-Total_Adj)*1000/Diluted_Shares</f>
        <v>76451.001100780544</v>
      </c>
      <c r="I11" s="19">
        <f>(SUMPRODUCT('Cash Flow Model'!$E$17:$K$17,1/(1+$B11)^$C$60:$I$60)+('Cash Flow Model'!$K$17*(1+I$7)/($B11-I$7))/(1+$B11)^7-Total_Adj)*1000/Diluted_Shares</f>
        <v>77990.329281233091</v>
      </c>
    </row>
    <row r="12" spans="1:14" ht="15" customHeight="1" x14ac:dyDescent="0.25">
      <c r="B12" s="52">
        <v>0.105</v>
      </c>
      <c r="C12" s="19">
        <f>(SUMPRODUCT('Cash Flow Model'!$E$17:$K$17,1/(1+$B12)^$C$60:$I$60)+('Cash Flow Model'!$K$17*(1+C$7)/($B12-C$7))/(1+$B12)^7-Total_Adj)*1000/Diluted_Shares</f>
        <v>66512.575492165823</v>
      </c>
      <c r="D12" s="19">
        <f>(SUMPRODUCT('Cash Flow Model'!$E$17:$K$17,1/(1+$B12)^$C$60:$I$60)+('Cash Flow Model'!$K$17*(1+D$7)/($B12-D$7))/(1+$B12)^7-Total_Adj)*1000/Diluted_Shares</f>
        <v>67503.433196982209</v>
      </c>
      <c r="E12" s="19">
        <f>(SUMPRODUCT('Cash Flow Model'!$E$17:$K$17,1/(1+$B12)^$C$60:$I$60)+('Cash Flow Model'!$K$17*(1+E$7)/($B12-E$7))/(1+$B12)^7-Total_Adj)*1000/Diluted_Shares</f>
        <v>68549.338552066169</v>
      </c>
      <c r="F12" s="19">
        <f>(SUMPRODUCT('Cash Flow Model'!$E$17:$K$17,1/(1+$B12)^$C$60:$I$60)+('Cash Flow Model'!$K$17*(1+F$7)/($B12-F$7))/(1+$B12)^7-Total_Adj)*1000/Diluted_Shares</f>
        <v>69655.009927440624</v>
      </c>
      <c r="G12" s="19">
        <f>(SUMPRODUCT('Cash Flow Model'!$E$17:$K$17,1/(1+$B12)^$C$60:$I$60)+('Cash Flow Model'!$K$17*(1+G$7)/($B12-G$7))/(1+$B12)^7-Total_Adj)*1000/Diluted_Shares</f>
        <v>70825.720795484187</v>
      </c>
      <c r="H12" s="19">
        <f>(SUMPRODUCT('Cash Flow Model'!$E$17:$K$17,1/(1+$B12)^$C$60:$I$60)+('Cash Flow Model'!$K$17*(1+H$7)/($B12-H$7))/(1+$B12)^7-Total_Adj)*1000/Diluted_Shares</f>
        <v>72067.383837348549</v>
      </c>
      <c r="I12" s="19">
        <f>(SUMPRODUCT('Cash Flow Model'!$E$17:$K$17,1/(1+$B12)^$C$60:$I$60)+('Cash Flow Model'!$K$17*(1+I$7)/($B12-I$7))/(1+$B12)^7-Total_Adj)*1000/Diluted_Shares</f>
        <v>73386.650819329443</v>
      </c>
    </row>
    <row r="13" spans="1:14" ht="15" customHeight="1" x14ac:dyDescent="0.25">
      <c r="B13" s="52">
        <v>0.11</v>
      </c>
      <c r="C13" s="19">
        <f>(SUMPRODUCT('Cash Flow Model'!$E$17:$K$17,1/(1+$B13)^$C$60:$I$60)+('Cash Flow Model'!$K$17*(1+C$7)/($B13-C$7))/(1+$B13)^7-Total_Adj)*1000/Diluted_Shares</f>
        <v>63337.554153233759</v>
      </c>
      <c r="D13" s="19">
        <f>(SUMPRODUCT('Cash Flow Model'!$E$17:$K$17,1/(1+$B13)^$C$60:$I$60)+('Cash Flow Model'!$K$17*(1+D$7)/($B13-D$7))/(1+$B13)^7-Total_Adj)*1000/Diluted_Shares</f>
        <v>64206.730318503338</v>
      </c>
      <c r="E13" s="19">
        <f>(SUMPRODUCT('Cash Flow Model'!$E$17:$K$17,1/(1+$B13)^$C$60:$I$60)+('Cash Flow Model'!$K$17*(1+E$7)/($B13-E$7))/(1+$B13)^7-Total_Adj)*1000/Diluted_Shares</f>
        <v>65121.652597734508</v>
      </c>
      <c r="F13" s="19">
        <f>(SUMPRODUCT('Cash Flow Model'!$E$17:$K$17,1/(1+$B13)^$C$60:$I$60)+('Cash Flow Model'!$K$17*(1+F$7)/($B13-F$7))/(1+$B13)^7-Total_Adj)*1000/Diluted_Shares</f>
        <v>66086.030135302484</v>
      </c>
      <c r="G13" s="19">
        <f>(SUMPRODUCT('Cash Flow Model'!$E$17:$K$17,1/(1+$B13)^$C$60:$I$60)+('Cash Flow Model'!$K$17*(1+G$7)/($B13-G$7))/(1+$B13)^7-Total_Adj)*1000/Diluted_Shares</f>
        <v>67103.984202735359</v>
      </c>
      <c r="H13" s="19">
        <f>(SUMPRODUCT('Cash Flow Model'!$E$17:$K$17,1/(1+$B13)^$C$60:$I$60)+('Cash Flow Model'!$K$17*(1+H$7)/($B13-H$7))/(1+$B13)^7-Total_Adj)*1000/Diluted_Shares</f>
        <v>68180.107074021522</v>
      </c>
      <c r="I13" s="19">
        <f>(SUMPRODUCT('Cash Flow Model'!$E$17:$K$17,1/(1+$B13)^$C$60:$I$60)+('Cash Flow Model'!$K$17*(1+I$7)/($B13-I$7))/(1+$B13)^7-Total_Adj)*1000/Diluted_Shares</f>
        <v>69319.531290677463</v>
      </c>
    </row>
    <row r="14" spans="1:14" ht="15" customHeight="1" x14ac:dyDescent="0.25">
      <c r="B14" s="52">
        <v>0.115</v>
      </c>
      <c r="C14" s="19">
        <f>(SUMPRODUCT('Cash Flow Model'!$E$17:$K$17,1/(1+$B14)^$C$60:$I$60)+('Cash Flow Model'!$K$17*(1+C$7)/($B14-C$7))/(1+$B14)^7-Total_Adj)*1000/Diluted_Shares</f>
        <v>60462.171000261544</v>
      </c>
      <c r="D14" s="19">
        <f>(SUMPRODUCT('Cash Flow Model'!$E$17:$K$17,1/(1+$B14)^$C$60:$I$60)+('Cash Flow Model'!$K$17*(1+D$7)/($B14-D$7))/(1+$B14)^7-Total_Adj)*1000/Diluted_Shares</f>
        <v>61228.628235327749</v>
      </c>
      <c r="E14" s="19">
        <f>(SUMPRODUCT('Cash Flow Model'!$E$17:$K$17,1/(1+$B14)^$C$60:$I$60)+('Cash Flow Model'!$K$17*(1+E$7)/($B14-E$7))/(1+$B14)^7-Total_Adj)*1000/Diluted_Shares</f>
        <v>62033.408332147286</v>
      </c>
      <c r="F14" s="19">
        <f>(SUMPRODUCT('Cash Flow Model'!$E$17:$K$17,1/(1+$B14)^$C$60:$I$60)+('Cash Flow Model'!$K$17*(1+F$7)/($B14-F$7))/(1+$B14)^7-Total_Adj)*1000/Diluted_Shares</f>
        <v>62879.459203162703</v>
      </c>
      <c r="G14" s="19">
        <f>(SUMPRODUCT('Cash Flow Model'!$E$17:$K$17,1/(1+$B14)^$C$60:$I$60)+('Cash Flow Model'!$K$17*(1+G$7)/($B14-G$7))/(1+$B14)^7-Total_Adj)*1000/Diluted_Shares</f>
        <v>63770.039067389451</v>
      </c>
      <c r="H14" s="19">
        <f>(SUMPRODUCT('Cash Flow Model'!$E$17:$K$17,1/(1+$B14)^$C$60:$I$60)+('Cash Flow Model'!$K$17*(1+H$7)/($B14-H$7))/(1+$B14)^7-Total_Adj)*1000/Diluted_Shares</f>
        <v>64708.758383736538</v>
      </c>
      <c r="I14" s="19">
        <f>(SUMPRODUCT('Cash Flow Model'!$E$17:$K$17,1/(1+$B14)^$C$60:$I$60)+('Cash Flow Model'!$K$17*(1+I$7)/($B14-I$7))/(1+$B14)^7-Total_Adj)*1000/Diluted_Shares</f>
        <v>65699.628773214048</v>
      </c>
    </row>
    <row r="17" spans="1:12" ht="15" customHeight="1" x14ac:dyDescent="0.25">
      <c r="A17" s="16" t="s">
        <v>588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5" customHeight="1" x14ac:dyDescent="0.25">
      <c r="B18" s="81" t="s">
        <v>589</v>
      </c>
    </row>
    <row r="19" spans="1:12" ht="15" customHeight="1" x14ac:dyDescent="0.25">
      <c r="C19" s="52">
        <v>0</v>
      </c>
      <c r="D19" s="52">
        <v>0.02</v>
      </c>
      <c r="E19" s="52">
        <v>0.04</v>
      </c>
      <c r="F19" s="52">
        <v>0.06</v>
      </c>
      <c r="G19" s="52">
        <v>0.08</v>
      </c>
      <c r="H19" s="52">
        <v>0.1</v>
      </c>
      <c r="I19" s="52">
        <v>0.12</v>
      </c>
    </row>
    <row r="20" spans="1:12" ht="15" customHeight="1" x14ac:dyDescent="0.25">
      <c r="B20" s="52">
        <v>0.3</v>
      </c>
      <c r="C20" s="19">
        <f>(SUMPRODUCT('Operating Model'!$E$7*(1+C$19)^$C$60:$I$60*$B20*$C$61,1/(1+WACC_Base)^$C$60:$I$60)+Assumptions!$D$87*'Operating Model'!$E$7*(1+C$19)^7*$B20/(1+WACC_Base)^7-Total_Adj)*1000/Diluted_Shares</f>
        <v>6053.8656783543793</v>
      </c>
      <c r="D20" s="19">
        <f>(SUMPRODUCT('Operating Model'!$E$7*(1+D$19)^$C$60:$I$60*$B20*$C$61,1/(1+WACC_Base)^$C$60:$I$60)+Assumptions!$D$87*'Operating Model'!$E$7*(1+D$19)^7*$B20/(1+WACC_Base)^7-Total_Adj)*1000/Diluted_Shares</f>
        <v>6922.4216173750001</v>
      </c>
      <c r="E20" s="19">
        <f>(SUMPRODUCT('Operating Model'!$E$7*(1+E$19)^$C$60:$I$60*$B20*$C$61,1/(1+WACC_Base)^$C$60:$I$60)+Assumptions!$D$87*'Operating Model'!$E$7*(1+E$19)^7*$B20/(1+WACC_Base)^7-Total_Adj)*1000/Diluted_Shares</f>
        <v>7886.8521032629669</v>
      </c>
      <c r="F20" s="19">
        <f>(SUMPRODUCT('Operating Model'!$E$7*(1+F$19)^$C$60:$I$60*$B20*$C$61,1/(1+WACC_Base)^$C$60:$I$60)+Assumptions!$D$87*'Operating Model'!$E$7*(1+F$19)^7*$B20/(1+WACC_Base)^7-Total_Adj)*1000/Diluted_Shares</f>
        <v>8956.3517551634231</v>
      </c>
      <c r="G20" s="19">
        <f>(SUMPRODUCT('Operating Model'!$E$7*(1+G$19)^$C$60:$I$60*$B20*$C$61,1/(1+WACC_Base)^$C$60:$I$60)+Assumptions!$D$87*'Operating Model'!$E$7*(1+G$19)^7*$B20/(1+WACC_Base)^7-Total_Adj)*1000/Diluted_Shares</f>
        <v>10140.824247714854</v>
      </c>
      <c r="H20" s="19">
        <f>(SUMPRODUCT('Operating Model'!$E$7*(1+H$19)^$C$60:$I$60*$B20*$C$61,1/(1+WACC_Base)^$C$60:$I$60)+Assumptions!$D$87*'Operating Model'!$E$7*(1+H$19)^7*$B20/(1+WACC_Base)^7-Total_Adj)*1000/Diluted_Shares</f>
        <v>11450.923028773734</v>
      </c>
      <c r="I20" s="19">
        <f>(SUMPRODUCT('Operating Model'!$E$7*(1+I$19)^$C$60:$I$60*$B20*$C$61,1/(1+WACC_Base)^$C$60:$I$60)+Assumptions!$D$87*'Operating Model'!$E$7*(1+I$19)^7*$B20/(1+WACC_Base)^7-Total_Adj)*1000/Diluted_Shares</f>
        <v>12898.093577069922</v>
      </c>
    </row>
    <row r="21" spans="1:12" ht="15" customHeight="1" x14ac:dyDescent="0.25">
      <c r="B21" s="52">
        <v>0.33</v>
      </c>
      <c r="C21" s="19">
        <f>(SUMPRODUCT('Operating Model'!$E$7*(1+C$19)^$C$60:$I$60*$B21*$C$61,1/(1+WACC_Base)^$C$60:$I$60)+Assumptions!$D$87*'Operating Model'!$E$7*(1+C$19)^7*$B21/(1+WACC_Base)^7-Total_Adj)*1000/Diluted_Shares</f>
        <v>6808.253042087963</v>
      </c>
      <c r="D21" s="19">
        <f>(SUMPRODUCT('Operating Model'!$E$7*(1+D$19)^$C$60:$I$60*$B21*$C$61,1/(1+WACC_Base)^$C$60:$I$60)+Assumptions!$D$87*'Operating Model'!$E$7*(1+D$19)^7*$B21/(1+WACC_Base)^7-Total_Adj)*1000/Diluted_Shares</f>
        <v>7763.6645750106454</v>
      </c>
      <c r="E21" s="19">
        <f>(SUMPRODUCT('Operating Model'!$E$7*(1+E$19)^$C$60:$I$60*$B21*$C$61,1/(1+WACC_Base)^$C$60:$I$60)+Assumptions!$D$87*'Operating Model'!$E$7*(1+E$19)^7*$B21/(1+WACC_Base)^7-Total_Adj)*1000/Diluted_Shares</f>
        <v>8824.5381094874119</v>
      </c>
      <c r="F21" s="19">
        <f>(SUMPRODUCT('Operating Model'!$E$7*(1+F$19)^$C$60:$I$60*$B21*$C$61,1/(1+WACC_Base)^$C$60:$I$60)+Assumptions!$D$87*'Operating Model'!$E$7*(1+F$19)^7*$B21/(1+WACC_Base)^7-Total_Adj)*1000/Diluted_Shares</f>
        <v>10000.987726577911</v>
      </c>
      <c r="G21" s="19">
        <f>(SUMPRODUCT('Operating Model'!$E$7*(1+G$19)^$C$60:$I$60*$B21*$C$61,1/(1+WACC_Base)^$C$60:$I$60)+Assumptions!$D$87*'Operating Model'!$E$7*(1+G$19)^7*$B21/(1+WACC_Base)^7-Total_Adj)*1000/Diluted_Shares</f>
        <v>11303.907468384488</v>
      </c>
      <c r="H21" s="19">
        <f>(SUMPRODUCT('Operating Model'!$E$7*(1+H$19)^$C$60:$I$60*$B21*$C$61,1/(1+WACC_Base)^$C$60:$I$60)+Assumptions!$D$87*'Operating Model'!$E$7*(1+H$19)^7*$B21/(1+WACC_Base)^7-Total_Adj)*1000/Diluted_Shares</f>
        <v>12745.016127549256</v>
      </c>
      <c r="I21" s="19">
        <f>(SUMPRODUCT('Operating Model'!$E$7*(1+I$19)^$C$60:$I$60*$B21*$C$61,1/(1+WACC_Base)^$C$60:$I$60)+Assumptions!$D$87*'Operating Model'!$E$7*(1+I$19)^7*$B21/(1+WACC_Base)^7-Total_Adj)*1000/Diluted_Shares</f>
        <v>14336.903730675067</v>
      </c>
    </row>
    <row r="22" spans="1:12" ht="15" customHeight="1" x14ac:dyDescent="0.25">
      <c r="B22" s="52">
        <v>0.36</v>
      </c>
      <c r="C22" s="19">
        <f>(SUMPRODUCT('Operating Model'!$E$7*(1+C$19)^$C$60:$I$60*$B22*$C$61,1/(1+WACC_Base)^$C$60:$I$60)+Assumptions!$D$87*'Operating Model'!$E$7*(1+C$19)^7*$B22/(1+WACC_Base)^7-Total_Adj)*1000/Diluted_Shares</f>
        <v>7562.6404058215476</v>
      </c>
      <c r="D22" s="19">
        <f>(SUMPRODUCT('Operating Model'!$E$7*(1+D$19)^$C$60:$I$60*$B22*$C$61,1/(1+WACC_Base)^$C$60:$I$60)+Assumptions!$D$87*'Operating Model'!$E$7*(1+D$19)^7*$B22/(1+WACC_Base)^7-Total_Adj)*1000/Diluted_Shares</f>
        <v>8604.9075326462935</v>
      </c>
      <c r="E22" s="19">
        <f>(SUMPRODUCT('Operating Model'!$E$7*(1+E$19)^$C$60:$I$60*$B22*$C$61,1/(1+WACC_Base)^$C$60:$I$60)+Assumptions!$D$87*'Operating Model'!$E$7*(1+E$19)^7*$B22/(1+WACC_Base)^7-Total_Adj)*1000/Diluted_Shares</f>
        <v>9762.2241157118569</v>
      </c>
      <c r="F22" s="19">
        <f>(SUMPRODUCT('Operating Model'!$E$7*(1+F$19)^$C$60:$I$60*$B22*$C$61,1/(1+WACC_Base)^$C$60:$I$60)+Assumptions!$D$87*'Operating Model'!$E$7*(1+F$19)^7*$B22/(1+WACC_Base)^7-Total_Adj)*1000/Diluted_Shares</f>
        <v>11045.623697992398</v>
      </c>
      <c r="G22" s="19">
        <f>(SUMPRODUCT('Operating Model'!$E$7*(1+G$19)^$C$60:$I$60*$B22*$C$61,1/(1+WACC_Base)^$C$60:$I$60)+Assumptions!$D$87*'Operating Model'!$E$7*(1+G$19)^7*$B22/(1+WACC_Base)^7-Total_Adj)*1000/Diluted_Shares</f>
        <v>12466.990689054121</v>
      </c>
      <c r="H22" s="19">
        <f>(SUMPRODUCT('Operating Model'!$E$7*(1+H$19)^$C$60:$I$60*$B22*$C$61,1/(1+WACC_Base)^$C$60:$I$60)+Assumptions!$D$87*'Operating Model'!$E$7*(1+H$19)^7*$B22/(1+WACC_Base)^7-Total_Adj)*1000/Diluted_Shares</f>
        <v>14039.109226324776</v>
      </c>
      <c r="I22" s="19">
        <f>(SUMPRODUCT('Operating Model'!$E$7*(1+I$19)^$C$60:$I$60*$B22*$C$61,1/(1+WACC_Base)^$C$60:$I$60)+Assumptions!$D$87*'Operating Model'!$E$7*(1+I$19)^7*$B22/(1+WACC_Base)^7-Total_Adj)*1000/Diluted_Shares</f>
        <v>15775.713884280201</v>
      </c>
    </row>
    <row r="23" spans="1:12" ht="15" customHeight="1" x14ac:dyDescent="0.25">
      <c r="B23" s="52">
        <v>0.39</v>
      </c>
      <c r="C23" s="19">
        <f>(SUMPRODUCT('Operating Model'!$E$7*(1+C$19)^$C$60:$I$60*$B23*$C$61,1/(1+WACC_Base)^$C$60:$I$60)+Assumptions!$D$87*'Operating Model'!$E$7*(1+C$19)^7*$B23/(1+WACC_Base)^7-Total_Adj)*1000/Diluted_Shares</f>
        <v>8317.0277695551322</v>
      </c>
      <c r="D23" s="19">
        <f>(SUMPRODUCT('Operating Model'!$E$7*(1+D$19)^$C$60:$I$60*$B23*$C$61,1/(1+WACC_Base)^$C$60:$I$60)+Assumptions!$D$87*'Operating Model'!$E$7*(1+D$19)^7*$B23/(1+WACC_Base)^7-Total_Adj)*1000/Diluted_Shares</f>
        <v>9446.1504902819397</v>
      </c>
      <c r="E23" s="19">
        <f>(SUMPRODUCT('Operating Model'!$E$7*(1+E$19)^$C$60:$I$60*$B23*$C$61,1/(1+WACC_Base)^$C$60:$I$60)+Assumptions!$D$87*'Operating Model'!$E$7*(1+E$19)^7*$B23/(1+WACC_Base)^7-Total_Adj)*1000/Diluted_Shares</f>
        <v>10699.9101219363</v>
      </c>
      <c r="F23" s="19">
        <f>(SUMPRODUCT('Operating Model'!$E$7*(1+F$19)^$C$60:$I$60*$B23*$C$61,1/(1+WACC_Base)^$C$60:$I$60)+Assumptions!$D$87*'Operating Model'!$E$7*(1+F$19)^7*$B23/(1+WACC_Base)^7-Total_Adj)*1000/Diluted_Shares</f>
        <v>12090.259669406887</v>
      </c>
      <c r="G23" s="19">
        <f>(SUMPRODUCT('Operating Model'!$E$7*(1+G$19)^$C$60:$I$60*$B23*$C$61,1/(1+WACC_Base)^$C$60:$I$60)+Assumptions!$D$87*'Operating Model'!$E$7*(1+G$19)^7*$B23/(1+WACC_Base)^7-Total_Adj)*1000/Diluted_Shares</f>
        <v>13630.073909723753</v>
      </c>
      <c r="H23" s="19">
        <f>(SUMPRODUCT('Operating Model'!$E$7*(1+H$19)^$C$60:$I$60*$B23*$C$61,1/(1+WACC_Base)^$C$60:$I$60)+Assumptions!$D$87*'Operating Model'!$E$7*(1+H$19)^7*$B23/(1+WACC_Base)^7-Total_Adj)*1000/Diluted_Shares</f>
        <v>15333.202325100294</v>
      </c>
      <c r="I23" s="19">
        <f>(SUMPRODUCT('Operating Model'!$E$7*(1+I$19)^$C$60:$I$60*$B23*$C$61,1/(1+WACC_Base)^$C$60:$I$60)+Assumptions!$D$87*'Operating Model'!$E$7*(1+I$19)^7*$B23/(1+WACC_Base)^7-Total_Adj)*1000/Diluted_Shares</f>
        <v>17214.524037885341</v>
      </c>
    </row>
    <row r="24" spans="1:12" ht="15" customHeight="1" x14ac:dyDescent="0.25">
      <c r="B24" s="52">
        <v>0.42</v>
      </c>
      <c r="C24" s="19">
        <f>(SUMPRODUCT('Operating Model'!$E$7*(1+C$19)^$C$60:$I$60*$B24*$C$61,1/(1+WACC_Base)^$C$60:$I$60)+Assumptions!$D$87*'Operating Model'!$E$7*(1+C$19)^7*$B24/(1+WACC_Base)^7-Total_Adj)*1000/Diluted_Shares</f>
        <v>9071.4151332887177</v>
      </c>
      <c r="D24" s="19">
        <f>(SUMPRODUCT('Operating Model'!$E$7*(1+D$19)^$C$60:$I$60*$B24*$C$61,1/(1+WACC_Base)^$C$60:$I$60)+Assumptions!$D$87*'Operating Model'!$E$7*(1+D$19)^7*$B24/(1+WACC_Base)^7-Total_Adj)*1000/Diluted_Shares</f>
        <v>10287.393447917586</v>
      </c>
      <c r="E24" s="19">
        <f>(SUMPRODUCT('Operating Model'!$E$7*(1+E$19)^$C$60:$I$60*$B24*$C$61,1/(1+WACC_Base)^$C$60:$I$60)+Assumptions!$D$87*'Operating Model'!$E$7*(1+E$19)^7*$B24/(1+WACC_Base)^7-Total_Adj)*1000/Diluted_Shares</f>
        <v>11637.596128160743</v>
      </c>
      <c r="F24" s="19">
        <f>(SUMPRODUCT('Operating Model'!$E$7*(1+F$19)^$C$60:$I$60*$B24*$C$61,1/(1+WACC_Base)^$C$60:$I$60)+Assumptions!$D$87*'Operating Model'!$E$7*(1+F$19)^7*$B24/(1+WACC_Base)^7-Total_Adj)*1000/Diluted_Shares</f>
        <v>13134.895640821374</v>
      </c>
      <c r="G24" s="19">
        <f>(SUMPRODUCT('Operating Model'!$E$7*(1+G$19)^$C$60:$I$60*$B24*$C$61,1/(1+WACC_Base)^$C$60:$I$60)+Assumptions!$D$87*'Operating Model'!$E$7*(1+G$19)^7*$B24/(1+WACC_Base)^7-Total_Adj)*1000/Diluted_Shares</f>
        <v>14793.157130393385</v>
      </c>
      <c r="H24" s="19">
        <f>(SUMPRODUCT('Operating Model'!$E$7*(1+H$19)^$C$60:$I$60*$B24*$C$61,1/(1+WACC_Base)^$C$60:$I$60)+Assumptions!$D$87*'Operating Model'!$E$7*(1+H$19)^7*$B24/(1+WACC_Base)^7-Total_Adj)*1000/Diluted_Shares</f>
        <v>16627.295423875814</v>
      </c>
      <c r="I24" s="19">
        <f>(SUMPRODUCT('Operating Model'!$E$7*(1+I$19)^$C$60:$I$60*$B24*$C$61,1/(1+WACC_Base)^$C$60:$I$60)+Assumptions!$D$87*'Operating Model'!$E$7*(1+I$19)^7*$B24/(1+WACC_Base)^7-Total_Adj)*1000/Diluted_Shares</f>
        <v>18653.334191490481</v>
      </c>
    </row>
    <row r="25" spans="1:12" ht="15" customHeight="1" x14ac:dyDescent="0.25">
      <c r="B25" s="52">
        <v>0.45</v>
      </c>
      <c r="C25" s="19">
        <f>(SUMPRODUCT('Operating Model'!$E$7*(1+C$19)^$C$60:$I$60*$B25*$C$61,1/(1+WACC_Base)^$C$60:$I$60)+Assumptions!$D$87*'Operating Model'!$E$7*(1+C$19)^7*$B25/(1+WACC_Base)^7-Total_Adj)*1000/Diluted_Shares</f>
        <v>9825.8024970223032</v>
      </c>
      <c r="D25" s="19">
        <f>(SUMPRODUCT('Operating Model'!$E$7*(1+D$19)^$C$60:$I$60*$B25*$C$61,1/(1+WACC_Base)^$C$60:$I$60)+Assumptions!$D$87*'Operating Model'!$E$7*(1+D$19)^7*$B25/(1+WACC_Base)^7-Total_Adj)*1000/Diluted_Shares</f>
        <v>11128.636405553232</v>
      </c>
      <c r="E25" s="19">
        <f>(SUMPRODUCT('Operating Model'!$E$7*(1+E$19)^$C$60:$I$60*$B25*$C$61,1/(1+WACC_Base)^$C$60:$I$60)+Assumptions!$D$87*'Operating Model'!$E$7*(1+E$19)^7*$B25/(1+WACC_Base)^7-Total_Adj)*1000/Diluted_Shares</f>
        <v>12575.282134385188</v>
      </c>
      <c r="F25" s="19">
        <f>(SUMPRODUCT('Operating Model'!$E$7*(1+F$19)^$C$60:$I$60*$B25*$C$61,1/(1+WACC_Base)^$C$60:$I$60)+Assumptions!$D$87*'Operating Model'!$E$7*(1+F$19)^7*$B25/(1+WACC_Base)^7-Total_Adj)*1000/Diluted_Shares</f>
        <v>14179.531612235867</v>
      </c>
      <c r="G25" s="19">
        <f>(SUMPRODUCT('Operating Model'!$E$7*(1+G$19)^$C$60:$I$60*$B25*$C$61,1/(1+WACC_Base)^$C$60:$I$60)+Assumptions!$D$87*'Operating Model'!$E$7*(1+G$19)^7*$B25/(1+WACC_Base)^7-Total_Adj)*1000/Diluted_Shares</f>
        <v>15956.240351063019</v>
      </c>
      <c r="H25" s="19">
        <f>(SUMPRODUCT('Operating Model'!$E$7*(1+H$19)^$C$60:$I$60*$B25*$C$61,1/(1+WACC_Base)^$C$60:$I$60)+Assumptions!$D$87*'Operating Model'!$E$7*(1+H$19)^7*$B25/(1+WACC_Base)^7-Total_Adj)*1000/Diluted_Shares</f>
        <v>17921.388522651334</v>
      </c>
      <c r="I25" s="19">
        <f>(SUMPRODUCT('Operating Model'!$E$7*(1+I$19)^$C$60:$I$60*$B25*$C$61,1/(1+WACC_Base)^$C$60:$I$60)+Assumptions!$D$87*'Operating Model'!$E$7*(1+I$19)^7*$B25/(1+WACC_Base)^7-Total_Adj)*1000/Diluted_Shares</f>
        <v>20092.144345095621</v>
      </c>
    </row>
    <row r="26" spans="1:12" ht="15" customHeight="1" x14ac:dyDescent="0.25">
      <c r="B26" s="52">
        <v>0.48</v>
      </c>
      <c r="C26" s="19">
        <f>(SUMPRODUCT('Operating Model'!$E$7*(1+C$19)^$C$60:$I$60*$B26*$C$61,1/(1+WACC_Base)^$C$60:$I$60)+Assumptions!$D$87*'Operating Model'!$E$7*(1+C$19)^7*$B26/(1+WACC_Base)^7-Total_Adj)*1000/Diluted_Shares</f>
        <v>10580.189860755889</v>
      </c>
      <c r="D26" s="19">
        <f>(SUMPRODUCT('Operating Model'!$E$7*(1+D$19)^$C$60:$I$60*$B26*$C$61,1/(1+WACC_Base)^$C$60:$I$60)+Assumptions!$D$87*'Operating Model'!$E$7*(1+D$19)^7*$B26/(1+WACC_Base)^7-Total_Adj)*1000/Diluted_Shares</f>
        <v>11969.879363188875</v>
      </c>
      <c r="E26" s="19">
        <f>(SUMPRODUCT('Operating Model'!$E$7*(1+E$19)^$C$60:$I$60*$B26*$C$61,1/(1+WACC_Base)^$C$60:$I$60)+Assumptions!$D$87*'Operating Model'!$E$7*(1+E$19)^7*$B26/(1+WACC_Base)^7-Total_Adj)*1000/Diluted_Shares</f>
        <v>13512.968140609628</v>
      </c>
      <c r="F26" s="19">
        <f>(SUMPRODUCT('Operating Model'!$E$7*(1+F$19)^$C$60:$I$60*$B26*$C$61,1/(1+WACC_Base)^$C$60:$I$60)+Assumptions!$D$87*'Operating Model'!$E$7*(1+F$19)^7*$B26/(1+WACC_Base)^7-Total_Adj)*1000/Diluted_Shares</f>
        <v>15224.167583650351</v>
      </c>
      <c r="G26" s="19">
        <f>(SUMPRODUCT('Operating Model'!$E$7*(1+G$19)^$C$60:$I$60*$B26*$C$61,1/(1+WACC_Base)^$C$60:$I$60)+Assumptions!$D$87*'Operating Model'!$E$7*(1+G$19)^7*$B26/(1+WACC_Base)^7-Total_Adj)*1000/Diluted_Shares</f>
        <v>17119.323571732646</v>
      </c>
      <c r="H26" s="19">
        <f>(SUMPRODUCT('Operating Model'!$E$7*(1+H$19)^$C$60:$I$60*$B26*$C$61,1/(1+WACC_Base)^$C$60:$I$60)+Assumptions!$D$87*'Operating Model'!$E$7*(1+H$19)^7*$B26/(1+WACC_Base)^7-Total_Adj)*1000/Diluted_Shares</f>
        <v>19215.481621426854</v>
      </c>
      <c r="I26" s="19">
        <f>(SUMPRODUCT('Operating Model'!$E$7*(1+I$19)^$C$60:$I$60*$B26*$C$61,1/(1+WACC_Base)^$C$60:$I$60)+Assumptions!$D$87*'Operating Model'!$E$7*(1+I$19)^7*$B26/(1+WACC_Base)^7-Total_Adj)*1000/Diluted_Shares</f>
        <v>21530.954498700761</v>
      </c>
    </row>
    <row r="29" spans="1:12" ht="15" customHeight="1" x14ac:dyDescent="0.25">
      <c r="A29" s="16" t="s">
        <v>590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5" customHeight="1" x14ac:dyDescent="0.25">
      <c r="B30" s="81" t="s">
        <v>591</v>
      </c>
    </row>
    <row r="31" spans="1:12" ht="15" customHeight="1" x14ac:dyDescent="0.25">
      <c r="C31" s="52">
        <v>-0.2</v>
      </c>
      <c r="D31" s="52">
        <v>-0.15</v>
      </c>
      <c r="E31" s="52">
        <v>-0.1</v>
      </c>
      <c r="F31" s="52">
        <v>-0.05</v>
      </c>
      <c r="G31" s="52">
        <v>0</v>
      </c>
      <c r="H31" s="52">
        <v>0.05</v>
      </c>
      <c r="I31" s="52">
        <v>0.1</v>
      </c>
    </row>
    <row r="32" spans="1:12" ht="15" customHeight="1" x14ac:dyDescent="0.25">
      <c r="B32" s="52">
        <v>-0.18</v>
      </c>
      <c r="C32" s="33">
        <f>'Operating Model'!$F$7*(1+$C$62)*(1+C$31)-('Operating Model'!$F$7-'Operating Model'!$F$15)*$C$63*(1+$C$62)*(1+$B32)-('Operating Model'!$F$7-'Operating Model'!$F$15)*(1-$C$63)</f>
        <v>7400.853621967085</v>
      </c>
      <c r="D32" s="33">
        <f>'Operating Model'!$F$7*(1+$C$62)*(1+D$31)-('Operating Model'!$F$7-'Operating Model'!$F$15)*$C$63*(1+$C$62)*(1+$B32)-('Operating Model'!$F$7-'Operating Model'!$F$15)*(1-$C$63)</f>
        <v>7975.7765382596926</v>
      </c>
      <c r="E32" s="33">
        <f>'Operating Model'!$F$7*(1+$C$62)*(1+E$31)-('Operating Model'!$F$7-'Operating Model'!$F$15)*$C$63*(1+$C$62)*(1+$B32)-('Operating Model'!$F$7-'Operating Model'!$F$15)*(1-$C$63)</f>
        <v>8550.699454552303</v>
      </c>
      <c r="F32" s="33">
        <f>'Operating Model'!$F$7*(1+$C$62)*(1+F$31)-('Operating Model'!$F$7-'Operating Model'!$F$15)*$C$63*(1+$C$62)*(1+$B32)-('Operating Model'!$F$7-'Operating Model'!$F$15)*(1-$C$63)</f>
        <v>9125.6223708449088</v>
      </c>
      <c r="G32" s="33">
        <f>'Operating Model'!$F$7*(1+$C$62)*(1+G$31)-('Operating Model'!$F$7-'Operating Model'!$F$15)*$C$63*(1+$C$62)*(1+$B32)-('Operating Model'!$F$7-'Operating Model'!$F$15)*(1-$C$63)</f>
        <v>9700.5452871375182</v>
      </c>
      <c r="H32" s="33">
        <f>'Operating Model'!$F$7*(1+$C$62)*(1+H$31)-('Operating Model'!$F$7-'Operating Model'!$F$15)*$C$63*(1+$C$62)*(1+$B32)-('Operating Model'!$F$7-'Operating Model'!$F$15)*(1-$C$63)</f>
        <v>10275.468203430128</v>
      </c>
      <c r="I32" s="33">
        <f>'Operating Model'!$F$7*(1+$C$62)*(1+I$31)-('Operating Model'!$F$7-'Operating Model'!$F$15)*$C$63*(1+$C$62)*(1+$B32)-('Operating Model'!$F$7-'Operating Model'!$F$15)*(1-$C$63)</f>
        <v>10850.391119722735</v>
      </c>
    </row>
    <row r="33" spans="1:9" ht="15" customHeight="1" x14ac:dyDescent="0.25">
      <c r="B33" s="52">
        <v>-0.15</v>
      </c>
      <c r="C33" s="33">
        <f>'Operating Model'!$F$7*(1+$C$62)*(1+C$31)-('Operating Model'!$F$7-'Operating Model'!$F$15)*$C$63*(1+$C$62)*(1+$B33)-('Operating Model'!$F$7-'Operating Model'!$F$15)*(1-$C$63)</f>
        <v>7341.5560723806657</v>
      </c>
      <c r="D33" s="33">
        <f>'Operating Model'!$F$7*(1+$C$62)*(1+D$31)-('Operating Model'!$F$7-'Operating Model'!$F$15)*$C$63*(1+$C$62)*(1+$B33)-('Operating Model'!$F$7-'Operating Model'!$F$15)*(1-$C$63)</f>
        <v>7916.4789886732733</v>
      </c>
      <c r="E33" s="33">
        <f>'Operating Model'!$F$7*(1+$C$62)*(1+E$31)-('Operating Model'!$F$7-'Operating Model'!$F$15)*$C$63*(1+$C$62)*(1+$B33)-('Operating Model'!$F$7-'Operating Model'!$F$15)*(1-$C$63)</f>
        <v>8491.4019049658837</v>
      </c>
      <c r="F33" s="33">
        <f>'Operating Model'!$F$7*(1+$C$62)*(1+F$31)-('Operating Model'!$F$7-'Operating Model'!$F$15)*$C$63*(1+$C$62)*(1+$B33)-('Operating Model'!$F$7-'Operating Model'!$F$15)*(1-$C$63)</f>
        <v>9066.3248212584895</v>
      </c>
      <c r="G33" s="33">
        <f>'Operating Model'!$F$7*(1+$C$62)*(1+G$31)-('Operating Model'!$F$7-'Operating Model'!$F$15)*$C$63*(1+$C$62)*(1+$B33)-('Operating Model'!$F$7-'Operating Model'!$F$15)*(1-$C$63)</f>
        <v>9641.2477375510989</v>
      </c>
      <c r="H33" s="33">
        <f>'Operating Model'!$F$7*(1+$C$62)*(1+H$31)-('Operating Model'!$F$7-'Operating Model'!$F$15)*$C$63*(1+$C$62)*(1+$B33)-('Operating Model'!$F$7-'Operating Model'!$F$15)*(1-$C$63)</f>
        <v>10216.170653843708</v>
      </c>
      <c r="I33" s="33">
        <f>'Operating Model'!$F$7*(1+$C$62)*(1+I$31)-('Operating Model'!$F$7-'Operating Model'!$F$15)*$C$63*(1+$C$62)*(1+$B33)-('Operating Model'!$F$7-'Operating Model'!$F$15)*(1-$C$63)</f>
        <v>10791.093570136316</v>
      </c>
    </row>
    <row r="34" spans="1:9" ht="15" customHeight="1" x14ac:dyDescent="0.25">
      <c r="B34" s="52">
        <v>-0.12</v>
      </c>
      <c r="C34" s="33">
        <f>'Operating Model'!$F$7*(1+$C$62)*(1+C$31)-('Operating Model'!$F$7-'Operating Model'!$F$15)*$C$63*(1+$C$62)*(1+$B34)-('Operating Model'!$F$7-'Operating Model'!$F$15)*(1-$C$63)</f>
        <v>7282.2585227942463</v>
      </c>
      <c r="D34" s="33">
        <f>'Operating Model'!$F$7*(1+$C$62)*(1+D$31)-('Operating Model'!$F$7-'Operating Model'!$F$15)*$C$63*(1+$C$62)*(1+$B34)-('Operating Model'!$F$7-'Operating Model'!$F$15)*(1-$C$63)</f>
        <v>7857.181439086854</v>
      </c>
      <c r="E34" s="33">
        <f>'Operating Model'!$F$7*(1+$C$62)*(1+E$31)-('Operating Model'!$F$7-'Operating Model'!$F$15)*$C$63*(1+$C$62)*(1+$B34)-('Operating Model'!$F$7-'Operating Model'!$F$15)*(1-$C$63)</f>
        <v>8432.1043553794643</v>
      </c>
      <c r="F34" s="33">
        <f>'Operating Model'!$F$7*(1+$C$62)*(1+F$31)-('Operating Model'!$F$7-'Operating Model'!$F$15)*$C$63*(1+$C$62)*(1+$B34)-('Operating Model'!$F$7-'Operating Model'!$F$15)*(1-$C$63)</f>
        <v>9007.0272716720701</v>
      </c>
      <c r="G34" s="33">
        <f>'Operating Model'!$F$7*(1+$C$62)*(1+G$31)-('Operating Model'!$F$7-'Operating Model'!$F$15)*$C$63*(1+$C$62)*(1+$B34)-('Operating Model'!$F$7-'Operating Model'!$F$15)*(1-$C$63)</f>
        <v>9581.9501879646796</v>
      </c>
      <c r="H34" s="33">
        <f>'Operating Model'!$F$7*(1+$C$62)*(1+H$31)-('Operating Model'!$F$7-'Operating Model'!$F$15)*$C$63*(1+$C$62)*(1+$B34)-('Operating Model'!$F$7-'Operating Model'!$F$15)*(1-$C$63)</f>
        <v>10156.873104257289</v>
      </c>
      <c r="I34" s="33">
        <f>'Operating Model'!$F$7*(1+$C$62)*(1+I$31)-('Operating Model'!$F$7-'Operating Model'!$F$15)*$C$63*(1+$C$62)*(1+$B34)-('Operating Model'!$F$7-'Operating Model'!$F$15)*(1-$C$63)</f>
        <v>10731.796020549897</v>
      </c>
    </row>
    <row r="35" spans="1:9" ht="15" customHeight="1" x14ac:dyDescent="0.25">
      <c r="B35" s="52">
        <v>-0.09</v>
      </c>
      <c r="C35" s="33">
        <f>'Operating Model'!$F$7*(1+$C$62)*(1+C$31)-('Operating Model'!$F$7-'Operating Model'!$F$15)*$C$63*(1+$C$62)*(1+$B35)-('Operating Model'!$F$7-'Operating Model'!$F$15)*(1-$C$63)</f>
        <v>7222.960973207827</v>
      </c>
      <c r="D35" s="33">
        <f>'Operating Model'!$F$7*(1+$C$62)*(1+D$31)-('Operating Model'!$F$7-'Operating Model'!$F$15)*$C$63*(1+$C$62)*(1+$B35)-('Operating Model'!$F$7-'Operating Model'!$F$15)*(1-$C$63)</f>
        <v>7797.8838895004346</v>
      </c>
      <c r="E35" s="33">
        <f>'Operating Model'!$F$7*(1+$C$62)*(1+E$31)-('Operating Model'!$F$7-'Operating Model'!$F$15)*$C$63*(1+$C$62)*(1+$B35)-('Operating Model'!$F$7-'Operating Model'!$F$15)*(1-$C$63)</f>
        <v>8372.806805793045</v>
      </c>
      <c r="F35" s="33">
        <f>'Operating Model'!$F$7*(1+$C$62)*(1+F$31)-('Operating Model'!$F$7-'Operating Model'!$F$15)*$C$63*(1+$C$62)*(1+$B35)-('Operating Model'!$F$7-'Operating Model'!$F$15)*(1-$C$63)</f>
        <v>8947.7297220856508</v>
      </c>
      <c r="G35" s="33">
        <f>'Operating Model'!$F$7*(1+$C$62)*(1+G$31)-('Operating Model'!$F$7-'Operating Model'!$F$15)*$C$63*(1+$C$62)*(1+$B35)-('Operating Model'!$F$7-'Operating Model'!$F$15)*(1-$C$63)</f>
        <v>9522.6526383782602</v>
      </c>
      <c r="H35" s="33">
        <f>'Operating Model'!$F$7*(1+$C$62)*(1+H$31)-('Operating Model'!$F$7-'Operating Model'!$F$15)*$C$63*(1+$C$62)*(1+$B35)-('Operating Model'!$F$7-'Operating Model'!$F$15)*(1-$C$63)</f>
        <v>10097.57555467087</v>
      </c>
      <c r="I35" s="33">
        <f>'Operating Model'!$F$7*(1+$C$62)*(1+I$31)-('Operating Model'!$F$7-'Operating Model'!$F$15)*$C$63*(1+$C$62)*(1+$B35)-('Operating Model'!$F$7-'Operating Model'!$F$15)*(1-$C$63)</f>
        <v>10672.498470963477</v>
      </c>
    </row>
    <row r="36" spans="1:9" ht="15" customHeight="1" x14ac:dyDescent="0.25">
      <c r="B36" s="52">
        <v>-0.06</v>
      </c>
      <c r="C36" s="33">
        <f>'Operating Model'!$F$7*(1+$C$62)*(1+C$31)-('Operating Model'!$F$7-'Operating Model'!$F$15)*$C$63*(1+$C$62)*(1+$B36)-('Operating Model'!$F$7-'Operating Model'!$F$15)*(1-$C$63)</f>
        <v>7163.6634236214077</v>
      </c>
      <c r="D36" s="33">
        <f>'Operating Model'!$F$7*(1+$C$62)*(1+D$31)-('Operating Model'!$F$7-'Operating Model'!$F$15)*$C$63*(1+$C$62)*(1+$B36)-('Operating Model'!$F$7-'Operating Model'!$F$15)*(1-$C$63)</f>
        <v>7738.5863399140153</v>
      </c>
      <c r="E36" s="33">
        <f>'Operating Model'!$F$7*(1+$C$62)*(1+E$31)-('Operating Model'!$F$7-'Operating Model'!$F$15)*$C$63*(1+$C$62)*(1+$B36)-('Operating Model'!$F$7-'Operating Model'!$F$15)*(1-$C$63)</f>
        <v>8313.5092562066257</v>
      </c>
      <c r="F36" s="33">
        <f>'Operating Model'!$F$7*(1+$C$62)*(1+F$31)-('Operating Model'!$F$7-'Operating Model'!$F$15)*$C$63*(1+$C$62)*(1+$B36)-('Operating Model'!$F$7-'Operating Model'!$F$15)*(1-$C$63)</f>
        <v>8888.4321724992315</v>
      </c>
      <c r="G36" s="33">
        <f>'Operating Model'!$F$7*(1+$C$62)*(1+G$31)-('Operating Model'!$F$7-'Operating Model'!$F$15)*$C$63*(1+$C$62)*(1+$B36)-('Operating Model'!$F$7-'Operating Model'!$F$15)*(1-$C$63)</f>
        <v>9463.3550887918409</v>
      </c>
      <c r="H36" s="33">
        <f>'Operating Model'!$F$7*(1+$C$62)*(1+H$31)-('Operating Model'!$F$7-'Operating Model'!$F$15)*$C$63*(1+$C$62)*(1+$B36)-('Operating Model'!$F$7-'Operating Model'!$F$15)*(1-$C$63)</f>
        <v>10038.27800508445</v>
      </c>
      <c r="I36" s="33">
        <f>'Operating Model'!$F$7*(1+$C$62)*(1+I$31)-('Operating Model'!$F$7-'Operating Model'!$F$15)*$C$63*(1+$C$62)*(1+$B36)-('Operating Model'!$F$7-'Operating Model'!$F$15)*(1-$C$63)</f>
        <v>10613.200921377058</v>
      </c>
    </row>
    <row r="37" spans="1:9" ht="15" customHeight="1" x14ac:dyDescent="0.25">
      <c r="B37" s="52">
        <v>-0.03</v>
      </c>
      <c r="C37" s="33">
        <f>'Operating Model'!$F$7*(1+$C$62)*(1+C$31)-('Operating Model'!$F$7-'Operating Model'!$F$15)*$C$63*(1+$C$62)*(1+$B37)-('Operating Model'!$F$7-'Operating Model'!$F$15)*(1-$C$63)</f>
        <v>7104.3658740349874</v>
      </c>
      <c r="D37" s="33">
        <f>'Operating Model'!$F$7*(1+$C$62)*(1+D$31)-('Operating Model'!$F$7-'Operating Model'!$F$15)*$C$63*(1+$C$62)*(1+$B37)-('Operating Model'!$F$7-'Operating Model'!$F$15)*(1-$C$63)</f>
        <v>7679.2887903275951</v>
      </c>
      <c r="E37" s="33">
        <f>'Operating Model'!$F$7*(1+$C$62)*(1+E$31)-('Operating Model'!$F$7-'Operating Model'!$F$15)*$C$63*(1+$C$62)*(1+$B37)-('Operating Model'!$F$7-'Operating Model'!$F$15)*(1-$C$63)</f>
        <v>8254.2117066202063</v>
      </c>
      <c r="F37" s="33">
        <f>'Operating Model'!$F$7*(1+$C$62)*(1+F$31)-('Operating Model'!$F$7-'Operating Model'!$F$15)*$C$63*(1+$C$62)*(1+$B37)-('Operating Model'!$F$7-'Operating Model'!$F$15)*(1-$C$63)</f>
        <v>8829.1346229128121</v>
      </c>
      <c r="G37" s="33">
        <f>'Operating Model'!$F$7*(1+$C$62)*(1+G$31)-('Operating Model'!$F$7-'Operating Model'!$F$15)*$C$63*(1+$C$62)*(1+$B37)-('Operating Model'!$F$7-'Operating Model'!$F$15)*(1-$C$63)</f>
        <v>9404.0575392054216</v>
      </c>
      <c r="H37" s="33">
        <f>'Operating Model'!$F$7*(1+$C$62)*(1+H$31)-('Operating Model'!$F$7-'Operating Model'!$F$15)*$C$63*(1+$C$62)*(1+$B37)-('Operating Model'!$F$7-'Operating Model'!$F$15)*(1-$C$63)</f>
        <v>9978.980455498031</v>
      </c>
      <c r="I37" s="33">
        <f>'Operating Model'!$F$7*(1+$C$62)*(1+I$31)-('Operating Model'!$F$7-'Operating Model'!$F$15)*$C$63*(1+$C$62)*(1+$B37)-('Operating Model'!$F$7-'Operating Model'!$F$15)*(1-$C$63)</f>
        <v>10553.903371790639</v>
      </c>
    </row>
    <row r="38" spans="1:9" ht="15" customHeight="1" x14ac:dyDescent="0.25">
      <c r="B38" s="52">
        <v>0</v>
      </c>
      <c r="C38" s="33">
        <f>'Operating Model'!$F$7*(1+$C$62)*(1+C$31)-('Operating Model'!$F$7-'Operating Model'!$F$15)*$C$63*(1+$C$62)*(1+$B38)-('Operating Model'!$F$7-'Operating Model'!$F$15)*(1-$C$63)</f>
        <v>7045.0683244485681</v>
      </c>
      <c r="D38" s="33">
        <f>'Operating Model'!$F$7*(1+$C$62)*(1+D$31)-('Operating Model'!$F$7-'Operating Model'!$F$15)*$C$63*(1+$C$62)*(1+$B38)-('Operating Model'!$F$7-'Operating Model'!$F$15)*(1-$C$63)</f>
        <v>7619.9912407411757</v>
      </c>
      <c r="E38" s="33">
        <f>'Operating Model'!$F$7*(1+$C$62)*(1+E$31)-('Operating Model'!$F$7-'Operating Model'!$F$15)*$C$63*(1+$C$62)*(1+$B38)-('Operating Model'!$F$7-'Operating Model'!$F$15)*(1-$C$63)</f>
        <v>8194.914157033787</v>
      </c>
      <c r="F38" s="33">
        <f>'Operating Model'!$F$7*(1+$C$62)*(1+F$31)-('Operating Model'!$F$7-'Operating Model'!$F$15)*$C$63*(1+$C$62)*(1+$B38)-('Operating Model'!$F$7-'Operating Model'!$F$15)*(1-$C$63)</f>
        <v>8769.8370733263928</v>
      </c>
      <c r="G38" s="33">
        <f>'Operating Model'!$F$7*(1+$C$62)*(1+G$31)-('Operating Model'!$F$7-'Operating Model'!$F$15)*$C$63*(1+$C$62)*(1+$B38)-('Operating Model'!$F$7-'Operating Model'!$F$15)*(1-$C$63)</f>
        <v>9344.7599896190022</v>
      </c>
      <c r="H38" s="33">
        <f>'Operating Model'!$F$7*(1+$C$62)*(1+H$31)-('Operating Model'!$F$7-'Operating Model'!$F$15)*$C$63*(1+$C$62)*(1+$B38)-('Operating Model'!$F$7-'Operating Model'!$F$15)*(1-$C$63)</f>
        <v>9919.6829059116117</v>
      </c>
      <c r="I38" s="33">
        <f>'Operating Model'!$F$7*(1+$C$62)*(1+I$31)-('Operating Model'!$F$7-'Operating Model'!$F$15)*$C$63*(1+$C$62)*(1+$B38)-('Operating Model'!$F$7-'Operating Model'!$F$15)*(1-$C$63)</f>
        <v>10494.605822204217</v>
      </c>
    </row>
    <row r="40" spans="1:9" ht="15" customHeight="1" x14ac:dyDescent="0.25">
      <c r="A40" s="35" t="s">
        <v>592</v>
      </c>
    </row>
    <row r="41" spans="1:9" ht="15" customHeight="1" x14ac:dyDescent="0.25">
      <c r="A41" s="35" t="s">
        <v>593</v>
      </c>
    </row>
    <row r="60" spans="1:11" ht="15" customHeight="1" x14ac:dyDescent="0.25">
      <c r="C60" s="41">
        <v>1</v>
      </c>
      <c r="D60" s="41">
        <v>2</v>
      </c>
      <c r="E60" s="41">
        <v>3</v>
      </c>
      <c r="F60" s="41">
        <v>4</v>
      </c>
      <c r="G60" s="41">
        <v>5</v>
      </c>
      <c r="H60" s="41">
        <v>6</v>
      </c>
      <c r="I60" s="41">
        <v>7</v>
      </c>
      <c r="K60" s="35" t="s">
        <v>594</v>
      </c>
    </row>
    <row r="61" spans="1:11" ht="15" customHeight="1" x14ac:dyDescent="0.25">
      <c r="A61" s="20"/>
      <c r="B61" s="62" t="s">
        <v>595</v>
      </c>
      <c r="C61" s="52">
        <v>0.55000000000000004</v>
      </c>
    </row>
    <row r="62" spans="1:11" ht="15" customHeight="1" x14ac:dyDescent="0.25">
      <c r="B62" s="62" t="s">
        <v>596</v>
      </c>
      <c r="C62" s="24">
        <f>Assumptions!D67</f>
        <v>0.24</v>
      </c>
    </row>
    <row r="63" spans="1:11" ht="15" customHeight="1" x14ac:dyDescent="0.25">
      <c r="B63" s="62" t="s">
        <v>597</v>
      </c>
      <c r="C63" s="52">
        <v>0.9</v>
      </c>
    </row>
  </sheetData>
  <phoneticPr fontId="30"/>
  <conditionalFormatting sqref="C8:I14">
    <cfRule type="colorScale" priority="2">
      <colorScale>
        <cfvo type="min"/>
        <cfvo type="percentile" val="50"/>
        <cfvo type="max"/>
        <color rgb="FFF4CCCC"/>
        <color rgb="FFFFF2CC"/>
        <color rgb="FFE2F0D9"/>
      </colorScale>
    </cfRule>
  </conditionalFormatting>
  <conditionalFormatting sqref="C20:I26">
    <cfRule type="colorScale" priority="3">
      <colorScale>
        <cfvo type="min"/>
        <cfvo type="percentile" val="50"/>
        <cfvo type="max"/>
        <color rgb="FFF4CCCC"/>
        <color rgb="FFFFF2CC"/>
        <color rgb="FFE2F0D9"/>
      </colorScale>
    </cfRule>
  </conditionalFormatting>
  <conditionalFormatting sqref="C32:I38">
    <cfRule type="colorScale" priority="4">
      <colorScale>
        <cfvo type="min"/>
        <cfvo type="percentile" val="50"/>
        <cfvo type="max"/>
        <color rgb="FFF4CCCC"/>
        <color rgb="FFFFF2CC"/>
        <color rgb="FFE2F0D9"/>
      </colorScale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1"/>
  <sheetViews>
    <sheetView showGridLines="0" zoomScaleNormal="100" workbookViewId="0"/>
  </sheetViews>
  <sheetFormatPr defaultColWidth="8.7109375" defaultRowHeight="15" x14ac:dyDescent="0.25"/>
  <cols>
    <col min="1" max="1" width="26" style="1" customWidth="1"/>
    <col min="2" max="2" width="9" style="1" customWidth="1"/>
    <col min="3" max="3" width="12" style="1" customWidth="1"/>
    <col min="4" max="4" width="9" style="1" customWidth="1"/>
    <col min="5" max="5" width="12" style="1" customWidth="1"/>
    <col min="6" max="6" width="13" style="1" customWidth="1"/>
    <col min="7" max="9" width="12" style="1" customWidth="1"/>
    <col min="10" max="12" width="11" style="1" customWidth="1"/>
    <col min="13" max="13" width="13" style="1" customWidth="1"/>
    <col min="14" max="14" width="46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598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599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600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B6" s="65" t="s">
        <v>601</v>
      </c>
      <c r="C6" s="65" t="s">
        <v>602</v>
      </c>
      <c r="D6" s="65" t="s">
        <v>603</v>
      </c>
      <c r="E6" s="65" t="s">
        <v>604</v>
      </c>
      <c r="F6" s="65" t="s">
        <v>605</v>
      </c>
      <c r="G6" s="65" t="s">
        <v>606</v>
      </c>
      <c r="H6" s="65" t="s">
        <v>607</v>
      </c>
      <c r="I6" s="65" t="s">
        <v>608</v>
      </c>
      <c r="J6" s="65" t="s">
        <v>609</v>
      </c>
      <c r="K6" s="65" t="s">
        <v>610</v>
      </c>
      <c r="L6" s="65" t="s">
        <v>611</v>
      </c>
      <c r="M6" s="65" t="s">
        <v>612</v>
      </c>
      <c r="N6" s="65" t="s">
        <v>417</v>
      </c>
    </row>
    <row r="7" spans="1:14" ht="15" customHeight="1" x14ac:dyDescent="0.25">
      <c r="A7" s="20" t="s">
        <v>613</v>
      </c>
      <c r="B7" s="64" t="s">
        <v>614</v>
      </c>
      <c r="C7" s="82">
        <v>991.33</v>
      </c>
      <c r="D7" s="64" t="s">
        <v>615</v>
      </c>
      <c r="E7" s="83">
        <v>1130</v>
      </c>
      <c r="F7" s="33">
        <f>C7*E7/1000</f>
        <v>1120.2029000000002</v>
      </c>
      <c r="G7" s="84" t="s">
        <v>616</v>
      </c>
      <c r="H7" s="33" t="str">
        <f>IF(ISNUMBER(G7),F7+G7,"n/d")</f>
        <v>n/d</v>
      </c>
      <c r="I7" s="84" t="s">
        <v>616</v>
      </c>
      <c r="J7" s="84" t="s">
        <v>616</v>
      </c>
      <c r="K7" s="85">
        <v>57.3</v>
      </c>
      <c r="L7" s="32">
        <f>C7/K7</f>
        <v>17.300698080279233</v>
      </c>
      <c r="M7" s="64" t="s">
        <v>617</v>
      </c>
      <c r="N7" s="35" t="s">
        <v>618</v>
      </c>
    </row>
    <row r="8" spans="1:14" ht="15" customHeight="1" x14ac:dyDescent="0.25">
      <c r="A8" s="20" t="s">
        <v>418</v>
      </c>
      <c r="B8" s="64" t="s">
        <v>619</v>
      </c>
      <c r="C8" s="82">
        <v>322500</v>
      </c>
      <c r="D8" s="64" t="s">
        <v>620</v>
      </c>
      <c r="E8" s="83">
        <v>5850</v>
      </c>
      <c r="F8" s="33">
        <f>C8*E8/1000</f>
        <v>1886625</v>
      </c>
      <c r="G8" s="84" t="s">
        <v>616</v>
      </c>
      <c r="H8" s="33" t="str">
        <f>IF(ISNUMBER(G8),F8+G8,"n/d")</f>
        <v>n/d</v>
      </c>
      <c r="I8" s="84" t="s">
        <v>616</v>
      </c>
      <c r="J8" s="84" t="s">
        <v>616</v>
      </c>
      <c r="K8" s="85">
        <v>12462</v>
      </c>
      <c r="L8" s="32">
        <f>C8/K8</f>
        <v>25.878671160327396</v>
      </c>
      <c r="M8" s="64" t="s">
        <v>621</v>
      </c>
      <c r="N8" s="35" t="s">
        <v>622</v>
      </c>
    </row>
    <row r="9" spans="1:14" ht="15" customHeight="1" x14ac:dyDescent="0.25">
      <c r="A9" s="20" t="s">
        <v>623</v>
      </c>
      <c r="B9" s="64" t="s">
        <v>624</v>
      </c>
      <c r="C9" s="82">
        <v>2101000</v>
      </c>
      <c r="D9" s="64" t="s">
        <v>620</v>
      </c>
      <c r="E9" s="83">
        <v>710</v>
      </c>
      <c r="F9" s="33">
        <f>C9*E9/1000</f>
        <v>1491710</v>
      </c>
      <c r="G9" s="84" t="s">
        <v>616</v>
      </c>
      <c r="H9" s="33" t="str">
        <f>IF(ISNUMBER(G9),F9+G9,"n/d")</f>
        <v>n/d</v>
      </c>
      <c r="I9" s="59">
        <v>92.6</v>
      </c>
      <c r="J9" s="84" t="s">
        <v>616</v>
      </c>
      <c r="K9" s="84" t="s">
        <v>616</v>
      </c>
      <c r="L9" s="84" t="s">
        <v>616</v>
      </c>
      <c r="M9" s="64" t="s">
        <v>625</v>
      </c>
      <c r="N9" s="35" t="s">
        <v>626</v>
      </c>
    </row>
    <row r="10" spans="1:14" ht="15" customHeight="1" x14ac:dyDescent="0.25">
      <c r="A10" s="20" t="s">
        <v>430</v>
      </c>
      <c r="B10" s="64" t="s">
        <v>627</v>
      </c>
      <c r="C10" s="82">
        <v>1969.35</v>
      </c>
      <c r="D10" s="64" t="s">
        <v>615</v>
      </c>
      <c r="E10" s="83">
        <v>148.1</v>
      </c>
      <c r="F10" s="33">
        <f>C10*E10/1000</f>
        <v>291.66073499999999</v>
      </c>
      <c r="G10" s="84" t="s">
        <v>616</v>
      </c>
      <c r="H10" s="33" t="str">
        <f>IF(ISNUMBER(G10),F10+G10,"n/d")</f>
        <v>n/d</v>
      </c>
      <c r="I10" s="84" t="s">
        <v>616</v>
      </c>
      <c r="J10" s="84" t="s">
        <v>616</v>
      </c>
      <c r="K10" s="85">
        <v>29.71</v>
      </c>
      <c r="L10" s="32">
        <f>C10/K10</f>
        <v>66.285762369572524</v>
      </c>
      <c r="M10" s="64" t="s">
        <v>628</v>
      </c>
      <c r="N10" s="35" t="s">
        <v>629</v>
      </c>
    </row>
    <row r="11" spans="1:14" ht="15" customHeight="1" x14ac:dyDescent="0.25">
      <c r="A11" s="18" t="s">
        <v>630</v>
      </c>
      <c r="B11" s="64" t="s">
        <v>631</v>
      </c>
      <c r="C11" s="82">
        <v>81200</v>
      </c>
      <c r="D11" s="64" t="s">
        <v>632</v>
      </c>
      <c r="E11" s="83">
        <v>554.1</v>
      </c>
      <c r="F11" s="33">
        <f>C11*E11/1000</f>
        <v>44992.92</v>
      </c>
      <c r="G11" s="59">
        <v>576.9</v>
      </c>
      <c r="H11" s="33">
        <f>IF(ISNUMBER(G11),F11+G11,"n/d")</f>
        <v>45569.82</v>
      </c>
      <c r="I11" s="59">
        <v>2337.6</v>
      </c>
      <c r="J11" s="59">
        <v>554.5</v>
      </c>
      <c r="K11" s="85">
        <v>1024.07</v>
      </c>
      <c r="L11" s="32">
        <f>C11/K11</f>
        <v>79.291454685714854</v>
      </c>
      <c r="M11" s="64" t="s">
        <v>628</v>
      </c>
      <c r="N11" s="35" t="s">
        <v>633</v>
      </c>
    </row>
    <row r="12" spans="1:14" ht="15" customHeight="1" x14ac:dyDescent="0.25">
      <c r="A12" s="35" t="s">
        <v>634</v>
      </c>
    </row>
    <row r="14" spans="1:14" ht="15" customHeight="1" x14ac:dyDescent="0.25">
      <c r="A14" s="16" t="s">
        <v>635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4" ht="15" customHeight="1" x14ac:dyDescent="0.25">
      <c r="A15" s="18" t="s">
        <v>636</v>
      </c>
      <c r="E15" s="62" t="s">
        <v>637</v>
      </c>
    </row>
    <row r="16" spans="1:14" ht="15" customHeight="1" x14ac:dyDescent="0.25">
      <c r="A16" s="18" t="s">
        <v>638</v>
      </c>
      <c r="E16" s="62" t="s">
        <v>639</v>
      </c>
    </row>
    <row r="17" spans="1:12" ht="15" customHeight="1" x14ac:dyDescent="0.25">
      <c r="A17" s="18" t="s">
        <v>640</v>
      </c>
      <c r="E17" s="62" t="s">
        <v>641</v>
      </c>
    </row>
    <row r="18" spans="1:12" ht="15" customHeight="1" x14ac:dyDescent="0.25">
      <c r="A18" s="18" t="s">
        <v>642</v>
      </c>
      <c r="E18" s="62" t="s">
        <v>643</v>
      </c>
    </row>
    <row r="19" spans="1:12" ht="15" customHeight="1" x14ac:dyDescent="0.25">
      <c r="A19" s="18" t="s">
        <v>644</v>
      </c>
      <c r="E19" s="62" t="s">
        <v>645</v>
      </c>
    </row>
    <row r="21" spans="1:12" ht="15" customHeight="1" x14ac:dyDescent="0.25">
      <c r="A21" s="16" t="s">
        <v>646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5" customHeight="1" x14ac:dyDescent="0.25">
      <c r="A22" s="20" t="s">
        <v>647</v>
      </c>
      <c r="C22" s="32">
        <f>Assumptions!B23/'Historical Financials'!E21</f>
        <v>38.723621703853951</v>
      </c>
    </row>
    <row r="23" spans="1:12" ht="15" customHeight="1" x14ac:dyDescent="0.25">
      <c r="A23" s="20" t="s">
        <v>648</v>
      </c>
      <c r="C23" s="32">
        <f>Assumptions!B23/'Operating Model'!F15</f>
        <v>6.1075590953474101</v>
      </c>
    </row>
    <row r="24" spans="1:12" ht="15" customHeight="1" x14ac:dyDescent="0.25">
      <c r="A24" s="20" t="s">
        <v>649</v>
      </c>
      <c r="C24" s="32">
        <f>Assumptions!B23/'Operating Model'!G15</f>
        <v>5.5073664371763726</v>
      </c>
    </row>
    <row r="25" spans="1:12" ht="15" customHeight="1" x14ac:dyDescent="0.25">
      <c r="A25" s="20" t="s">
        <v>650</v>
      </c>
      <c r="C25" s="32">
        <f>Assumptions!B23/AVERAGE('Operating Model'!J15:L15)</f>
        <v>8.6556808367274591</v>
      </c>
    </row>
    <row r="26" spans="1:12" ht="15" customHeight="1" x14ac:dyDescent="0.25">
      <c r="A26" s="20" t="s">
        <v>651</v>
      </c>
      <c r="C26" s="32">
        <f>Share_Price/'Historical Financials'!E32</f>
        <v>79.291454685714854</v>
      </c>
    </row>
    <row r="27" spans="1:12" ht="15" customHeight="1" x14ac:dyDescent="0.25">
      <c r="A27" s="20" t="s">
        <v>652</v>
      </c>
      <c r="C27" s="32">
        <f>Share_Price/'Operating Model'!F26</f>
        <v>8.3690084478893958</v>
      </c>
    </row>
    <row r="28" spans="1:12" ht="15" customHeight="1" x14ac:dyDescent="0.25">
      <c r="A28" s="20" t="s">
        <v>653</v>
      </c>
      <c r="C28" s="32">
        <f>Share_Price/AVERAGE('Operating Model'!J26:L26)</f>
        <v>12.722955144846544</v>
      </c>
    </row>
    <row r="29" spans="1:12" ht="15" customHeight="1" x14ac:dyDescent="0.25">
      <c r="A29" s="20" t="s">
        <v>654</v>
      </c>
      <c r="C29" s="32">
        <f>Assumptions!B16/'Historical Financials'!E55</f>
        <v>32.162548573879477</v>
      </c>
    </row>
    <row r="30" spans="1:12" ht="15" customHeight="1" x14ac:dyDescent="0.25">
      <c r="A30" s="20" t="s">
        <v>655</v>
      </c>
      <c r="C30" s="32">
        <f>Assumptions!B23/'Historical Financials'!E7</f>
        <v>19.600354722792609</v>
      </c>
    </row>
    <row r="31" spans="1:12" ht="15" customHeight="1" x14ac:dyDescent="0.25">
      <c r="A31" s="35" t="s">
        <v>656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0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7109375" defaultRowHeight="15" x14ac:dyDescent="0.25"/>
  <cols>
    <col min="1" max="1" width="42" style="1" customWidth="1"/>
    <col min="2" max="2" width="13" style="1" customWidth="1"/>
    <col min="3" max="5" width="10" style="1" customWidth="1"/>
    <col min="6" max="8" width="12" style="1" customWidth="1"/>
    <col min="9" max="9" width="2" style="1" customWidth="1"/>
    <col min="10" max="10" width="62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657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658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659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23.25" customHeight="1" x14ac:dyDescent="0.25">
      <c r="B6" s="65" t="s">
        <v>660</v>
      </c>
      <c r="C6" s="65" t="s">
        <v>661</v>
      </c>
      <c r="D6" s="65" t="s">
        <v>662</v>
      </c>
      <c r="E6" s="65" t="s">
        <v>663</v>
      </c>
      <c r="F6" s="65" t="s">
        <v>664</v>
      </c>
      <c r="G6" s="65" t="s">
        <v>128</v>
      </c>
      <c r="H6" s="65" t="s">
        <v>398</v>
      </c>
    </row>
    <row r="7" spans="1:14" ht="15" customHeight="1" x14ac:dyDescent="0.25">
      <c r="A7" s="20" t="s">
        <v>665</v>
      </c>
      <c r="B7" s="27">
        <f>'Operating Model'!F15</f>
        <v>7501.816762592257</v>
      </c>
      <c r="C7" s="54">
        <v>6</v>
      </c>
      <c r="D7" s="54">
        <v>8</v>
      </c>
      <c r="E7" s="54">
        <v>10</v>
      </c>
      <c r="F7" s="21">
        <f t="shared" ref="F7:H9" si="0">($B7*C7-Total_Adj)*1000/Diluted_Shares</f>
        <v>79743.761540168576</v>
      </c>
      <c r="G7" s="19">
        <f t="shared" si="0"/>
        <v>106821.68470655191</v>
      </c>
      <c r="H7" s="22">
        <f t="shared" si="0"/>
        <v>133899.60787293524</v>
      </c>
    </row>
    <row r="8" spans="1:14" ht="15" customHeight="1" x14ac:dyDescent="0.25">
      <c r="A8" s="20" t="s">
        <v>666</v>
      </c>
      <c r="B8" s="27">
        <f>'Operating Model'!G15</f>
        <v>8319.3645679205583</v>
      </c>
      <c r="C8" s="54">
        <v>5</v>
      </c>
      <c r="D8" s="54">
        <v>7</v>
      </c>
      <c r="E8" s="54">
        <v>9</v>
      </c>
      <c r="F8" s="21">
        <f t="shared" si="0"/>
        <v>73582.178450115214</v>
      </c>
      <c r="G8" s="19">
        <f t="shared" si="0"/>
        <v>103611.05301375389</v>
      </c>
      <c r="H8" s="22">
        <f t="shared" si="0"/>
        <v>133639.92757739258</v>
      </c>
    </row>
    <row r="9" spans="1:14" ht="15" customHeight="1" x14ac:dyDescent="0.25">
      <c r="A9" s="20" t="s">
        <v>667</v>
      </c>
      <c r="B9" s="27">
        <f>AVERAGE('Operating Model'!J15:L15)</f>
        <v>5293.3778479432467</v>
      </c>
      <c r="C9" s="54">
        <v>5</v>
      </c>
      <c r="D9" s="54">
        <v>7</v>
      </c>
      <c r="E9" s="54">
        <v>9</v>
      </c>
      <c r="F9" s="21">
        <f t="shared" si="0"/>
        <v>46276.314251118019</v>
      </c>
      <c r="G9" s="19">
        <f t="shared" si="0"/>
        <v>65382.843135157818</v>
      </c>
      <c r="H9" s="22">
        <f t="shared" si="0"/>
        <v>84489.372019197603</v>
      </c>
    </row>
    <row r="10" spans="1:14" ht="15" customHeight="1" x14ac:dyDescent="0.25">
      <c r="A10" s="20" t="s">
        <v>668</v>
      </c>
      <c r="B10" s="30">
        <f>'Operating Model'!F26</f>
        <v>9702.4636198662301</v>
      </c>
      <c r="C10" s="54">
        <v>8</v>
      </c>
      <c r="D10" s="54">
        <v>12</v>
      </c>
      <c r="E10" s="54">
        <v>16</v>
      </c>
      <c r="F10" s="21">
        <f t="shared" ref="F10:H11" si="1">$B10*C10</f>
        <v>77619.708958929841</v>
      </c>
      <c r="G10" s="19">
        <f t="shared" si="1"/>
        <v>116429.56343839476</v>
      </c>
      <c r="H10" s="22">
        <f t="shared" si="1"/>
        <v>155239.41791785968</v>
      </c>
    </row>
    <row r="11" spans="1:14" ht="15" customHeight="1" x14ac:dyDescent="0.25">
      <c r="A11" s="20" t="s">
        <v>669</v>
      </c>
      <c r="B11" s="30">
        <f>AVERAGE('Operating Model'!J26:L26)</f>
        <v>6382.1650768681839</v>
      </c>
      <c r="C11" s="54">
        <v>12</v>
      </c>
      <c r="D11" s="54">
        <v>15</v>
      </c>
      <c r="E11" s="54">
        <v>18</v>
      </c>
      <c r="F11" s="21">
        <f t="shared" si="1"/>
        <v>76585.98092241821</v>
      </c>
      <c r="G11" s="19">
        <f t="shared" si="1"/>
        <v>95732.476153022755</v>
      </c>
      <c r="H11" s="22">
        <f t="shared" si="1"/>
        <v>114878.97138362731</v>
      </c>
    </row>
    <row r="12" spans="1:14" ht="15" customHeight="1" x14ac:dyDescent="0.25">
      <c r="A12" s="20" t="s">
        <v>670</v>
      </c>
      <c r="B12" s="27">
        <f>'Historical Financials'!E55+'Operating Model'!F24</f>
        <v>6697.2795483182708</v>
      </c>
      <c r="C12" s="54">
        <v>1.5</v>
      </c>
      <c r="D12" s="54">
        <v>2.5</v>
      </c>
      <c r="E12" s="54">
        <v>3.5</v>
      </c>
      <c r="F12" s="21">
        <f>$B12*C12*1000/Diluted_Shares</f>
        <v>18130.450273470251</v>
      </c>
      <c r="G12" s="19">
        <f>$B12*D12*1000/Diluted_Shares</f>
        <v>30217.417122450421</v>
      </c>
      <c r="H12" s="22">
        <f>$B12*E12*1000/Diluted_Shares</f>
        <v>42304.383971430594</v>
      </c>
    </row>
    <row r="13" spans="1:14" ht="15" customHeight="1" x14ac:dyDescent="0.25">
      <c r="A13" s="20" t="s">
        <v>671</v>
      </c>
      <c r="B13" s="27">
        <f>AVERAGE('Operating Model'!J7:L7)</f>
        <v>13340.33282900184</v>
      </c>
      <c r="C13" s="54">
        <v>2</v>
      </c>
      <c r="D13" s="54">
        <v>2.6</v>
      </c>
      <c r="E13" s="54">
        <v>3.2</v>
      </c>
      <c r="F13" s="21">
        <f>($B13*C13-Total_Adj)*1000/Diluted_Shares</f>
        <v>46662.128888582709</v>
      </c>
      <c r="G13" s="19">
        <f>($B13*D13-Total_Adj)*1000/Diluted_Shares</f>
        <v>61107.769942851963</v>
      </c>
      <c r="H13" s="22">
        <f>($B13*E13-Total_Adj)*1000/Diluted_Shares</f>
        <v>75553.410997121216</v>
      </c>
    </row>
    <row r="14" spans="1:14" ht="15" customHeight="1" x14ac:dyDescent="0.25">
      <c r="A14" s="35" t="s">
        <v>672</v>
      </c>
    </row>
    <row r="15" spans="1:14" ht="15" customHeight="1" x14ac:dyDescent="0.25">
      <c r="A15" s="35" t="s">
        <v>673</v>
      </c>
    </row>
    <row r="17" spans="1:12" ht="15" customHeight="1" x14ac:dyDescent="0.25">
      <c r="A17" s="16" t="s">
        <v>674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5" customHeight="1" x14ac:dyDescent="0.25">
      <c r="A18" s="18" t="s">
        <v>675</v>
      </c>
      <c r="C18" s="62" t="s">
        <v>676</v>
      </c>
    </row>
    <row r="19" spans="1:12" ht="15" customHeight="1" x14ac:dyDescent="0.25">
      <c r="A19" s="18" t="s">
        <v>677</v>
      </c>
      <c r="C19" s="62" t="s">
        <v>678</v>
      </c>
    </row>
    <row r="22" spans="1:12" ht="15" customHeight="1" x14ac:dyDescent="0.2">
      <c r="A22" s="16" t="s">
        <v>679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</row>
    <row r="23" spans="1:12" ht="15" customHeight="1" x14ac:dyDescent="0.25">
      <c r="B23" s="86" t="s">
        <v>680</v>
      </c>
      <c r="C23" s="25" t="s">
        <v>273</v>
      </c>
      <c r="D23" s="25" t="s">
        <v>681</v>
      </c>
    </row>
    <row r="24" spans="1:12" ht="15" customHeight="1" x14ac:dyDescent="0.25">
      <c r="A24" s="58" t="s">
        <v>682</v>
      </c>
      <c r="C24" s="30">
        <f>'Operating Model'!F27</f>
        <v>9562.2912992960919</v>
      </c>
      <c r="D24" s="32">
        <f>Share_Price/C24</f>
        <v>8.4916885983150685</v>
      </c>
    </row>
    <row r="25" spans="1:12" ht="15" customHeight="1" x14ac:dyDescent="0.25">
      <c r="A25" s="58" t="s">
        <v>683</v>
      </c>
      <c r="C25" s="30">
        <f>'Operating Model'!G27</f>
        <v>10485.919575993848</v>
      </c>
      <c r="D25" s="32">
        <f>Share_Price/C25</f>
        <v>7.7437176025931818</v>
      </c>
    </row>
    <row r="26" spans="1:12" ht="15" customHeight="1" x14ac:dyDescent="0.25">
      <c r="A26" s="58" t="s">
        <v>684</v>
      </c>
      <c r="C26" s="30">
        <f>'Operating Model'!H27</f>
        <v>6822.6251092929697</v>
      </c>
      <c r="D26" s="32">
        <f>Share_Price/C26</f>
        <v>11.901577281360368</v>
      </c>
    </row>
    <row r="27" spans="1:12" ht="15" customHeight="1" x14ac:dyDescent="0.25">
      <c r="A27" s="58" t="s">
        <v>685</v>
      </c>
      <c r="C27" s="30">
        <f>AVERAGE('Operating Model'!J27:L27)</f>
        <v>6289.9613929239758</v>
      </c>
      <c r="D27" s="32">
        <f>Share_Price/C27</f>
        <v>12.9094592045267</v>
      </c>
    </row>
    <row r="28" spans="1:12" ht="15" customHeight="1" x14ac:dyDescent="0.25">
      <c r="A28" s="35" t="s">
        <v>686</v>
      </c>
    </row>
    <row r="30" spans="1:12" ht="15" customHeight="1" x14ac:dyDescent="0.2">
      <c r="A30" s="16" t="s">
        <v>687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ht="15" customHeight="1" x14ac:dyDescent="0.25">
      <c r="B31" s="81" t="s">
        <v>688</v>
      </c>
      <c r="C31" s="54">
        <v>8</v>
      </c>
      <c r="D31" s="54">
        <v>10</v>
      </c>
      <c r="E31" s="54">
        <v>12</v>
      </c>
      <c r="F31" s="54">
        <v>15</v>
      </c>
      <c r="G31" s="54">
        <v>18</v>
      </c>
    </row>
    <row r="32" spans="1:12" ht="15" customHeight="1" x14ac:dyDescent="0.25">
      <c r="A32" s="58" t="s">
        <v>689</v>
      </c>
      <c r="B32" s="30">
        <f>'Operating Model'!F27</f>
        <v>9562.2912992960919</v>
      </c>
      <c r="C32" s="19">
        <f t="shared" ref="C32:G34" si="2">$B32*C$31</f>
        <v>76498.330394368735</v>
      </c>
      <c r="D32" s="19">
        <f t="shared" si="2"/>
        <v>95622.912992960919</v>
      </c>
      <c r="E32" s="19">
        <f t="shared" si="2"/>
        <v>114747.4955915531</v>
      </c>
      <c r="F32" s="19">
        <f t="shared" si="2"/>
        <v>143434.36948944139</v>
      </c>
      <c r="G32" s="19">
        <f t="shared" si="2"/>
        <v>172121.24338732965</v>
      </c>
    </row>
    <row r="33" spans="1:12" ht="15" customHeight="1" x14ac:dyDescent="0.25">
      <c r="A33" s="58" t="s">
        <v>690</v>
      </c>
      <c r="B33" s="30">
        <f>'Operating Model'!G27</f>
        <v>10485.919575993848</v>
      </c>
      <c r="C33" s="19">
        <f t="shared" si="2"/>
        <v>83887.356607950787</v>
      </c>
      <c r="D33" s="19">
        <f t="shared" si="2"/>
        <v>104859.19575993848</v>
      </c>
      <c r="E33" s="19">
        <f t="shared" si="2"/>
        <v>125831.03491192618</v>
      </c>
      <c r="F33" s="19">
        <f t="shared" si="2"/>
        <v>157288.79363990773</v>
      </c>
      <c r="G33" s="19">
        <f t="shared" si="2"/>
        <v>188746.55236788926</v>
      </c>
    </row>
    <row r="34" spans="1:12" ht="15" customHeight="1" x14ac:dyDescent="0.25">
      <c r="A34" s="58" t="s">
        <v>691</v>
      </c>
      <c r="B34" s="30">
        <f>AVERAGE('Operating Model'!J27:L27)</f>
        <v>6289.9613929239758</v>
      </c>
      <c r="C34" s="19">
        <f t="shared" si="2"/>
        <v>50319.691143391807</v>
      </c>
      <c r="D34" s="19">
        <f t="shared" si="2"/>
        <v>62899.613929239757</v>
      </c>
      <c r="E34" s="19">
        <f t="shared" si="2"/>
        <v>75479.536715087714</v>
      </c>
      <c r="F34" s="19">
        <f t="shared" si="2"/>
        <v>94349.420893859642</v>
      </c>
      <c r="G34" s="19">
        <f t="shared" si="2"/>
        <v>113219.30507263157</v>
      </c>
    </row>
    <row r="35" spans="1:12" ht="15" customHeight="1" x14ac:dyDescent="0.25">
      <c r="A35" s="35" t="s">
        <v>692</v>
      </c>
    </row>
    <row r="37" spans="1:12" ht="15" customHeight="1" x14ac:dyDescent="0.2">
      <c r="A37" s="16" t="s">
        <v>693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ht="15" customHeight="1" x14ac:dyDescent="0.25">
      <c r="A38" s="18" t="s">
        <v>694</v>
      </c>
      <c r="C38" s="62" t="s">
        <v>695</v>
      </c>
    </row>
    <row r="39" spans="1:12" ht="15" customHeight="1" x14ac:dyDescent="0.25">
      <c r="A39" s="18" t="s">
        <v>696</v>
      </c>
      <c r="C39" s="62" t="s">
        <v>697</v>
      </c>
    </row>
    <row r="40" spans="1:12" ht="15" customHeight="1" x14ac:dyDescent="0.25">
      <c r="A40" s="18" t="s">
        <v>698</v>
      </c>
      <c r="C40" s="62" t="s">
        <v>699</v>
      </c>
    </row>
  </sheetData>
  <phoneticPr fontId="30"/>
  <conditionalFormatting sqref="C32:G34">
    <cfRule type="colorScale" priority="2">
      <colorScale>
        <cfvo type="min"/>
        <cfvo type="percentile" val="50"/>
        <cfvo type="max"/>
        <color rgb="FFF4CCCC"/>
        <color rgb="FFFFF2CC"/>
        <color rgb="FFE2F0D9"/>
      </colorScale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7"/>
  <sheetViews>
    <sheetView showGridLines="0" zoomScaleNormal="100" workbookViewId="0"/>
  </sheetViews>
  <sheetFormatPr defaultColWidth="8.7109375" defaultRowHeight="15" x14ac:dyDescent="0.25"/>
  <cols>
    <col min="1" max="1" width="44" style="1" customWidth="1"/>
    <col min="2" max="4" width="12" style="1" customWidth="1"/>
    <col min="5" max="5" width="10" style="1" customWidth="1"/>
    <col min="6" max="6" width="13" style="1" customWidth="1"/>
    <col min="7" max="7" width="2" style="1" customWidth="1"/>
    <col min="8" max="9" width="12" style="1" customWidth="1"/>
    <col min="10" max="10" width="2" style="1" customWidth="1"/>
    <col min="11" max="11" width="56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700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701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702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B6" s="25" t="s">
        <v>703</v>
      </c>
      <c r="C6" s="25" t="s">
        <v>128</v>
      </c>
      <c r="D6" s="25" t="s">
        <v>704</v>
      </c>
      <c r="E6" s="25" t="s">
        <v>705</v>
      </c>
      <c r="F6" s="25" t="s">
        <v>706</v>
      </c>
    </row>
    <row r="7" spans="1:14" ht="15" customHeight="1" x14ac:dyDescent="0.25">
      <c r="A7" s="20" t="s">
        <v>707</v>
      </c>
      <c r="B7" s="21">
        <f>'Scenario Analysis'!K14</f>
        <v>23057.383132783474</v>
      </c>
      <c r="C7" s="19">
        <f>'Scenario Analysis'!K29</f>
        <v>74221.097530735628</v>
      </c>
      <c r="D7" s="22">
        <f>'Scenario Analysis'!K44</f>
        <v>140773.90521960356</v>
      </c>
      <c r="E7" s="52">
        <v>0.3</v>
      </c>
      <c r="F7" s="19">
        <f t="shared" ref="F7:F14" si="0">C7*E7</f>
        <v>22266.329259220689</v>
      </c>
    </row>
    <row r="8" spans="1:14" ht="15" customHeight="1" x14ac:dyDescent="0.25">
      <c r="A8" s="20" t="s">
        <v>665</v>
      </c>
      <c r="B8" s="21">
        <f>'Multiples Valuation'!F7</f>
        <v>79743.761540168576</v>
      </c>
      <c r="C8" s="19">
        <f>'Multiples Valuation'!G7</f>
        <v>106821.68470655191</v>
      </c>
      <c r="D8" s="22">
        <f>'Multiples Valuation'!H7</f>
        <v>133899.60787293524</v>
      </c>
      <c r="E8" s="52">
        <v>0.1</v>
      </c>
      <c r="F8" s="19">
        <f t="shared" si="0"/>
        <v>10682.168470655191</v>
      </c>
    </row>
    <row r="9" spans="1:14" ht="15" customHeight="1" x14ac:dyDescent="0.25">
      <c r="A9" s="20" t="s">
        <v>666</v>
      </c>
      <c r="B9" s="21">
        <f>'Multiples Valuation'!F8</f>
        <v>73582.178450115214</v>
      </c>
      <c r="C9" s="19">
        <f>'Multiples Valuation'!G8</f>
        <v>103611.05301375389</v>
      </c>
      <c r="D9" s="22">
        <f>'Multiples Valuation'!H8</f>
        <v>133639.92757739258</v>
      </c>
      <c r="E9" s="52">
        <v>0.1</v>
      </c>
      <c r="F9" s="19">
        <f t="shared" si="0"/>
        <v>10361.10530137539</v>
      </c>
    </row>
    <row r="10" spans="1:14" ht="15" customHeight="1" x14ac:dyDescent="0.25">
      <c r="A10" s="20" t="s">
        <v>708</v>
      </c>
      <c r="B10" s="21">
        <f>'Multiples Valuation'!F9</f>
        <v>46276.314251118019</v>
      </c>
      <c r="C10" s="19">
        <f>'Multiples Valuation'!G9</f>
        <v>65382.843135157818</v>
      </c>
      <c r="D10" s="22">
        <f>'Multiples Valuation'!H9</f>
        <v>84489.372019197603</v>
      </c>
      <c r="E10" s="52">
        <v>0.2</v>
      </c>
      <c r="F10" s="19">
        <f t="shared" si="0"/>
        <v>13076.568627031564</v>
      </c>
    </row>
    <row r="11" spans="1:14" ht="15" customHeight="1" x14ac:dyDescent="0.25">
      <c r="A11" s="20" t="s">
        <v>709</v>
      </c>
      <c r="B11" s="21">
        <f>'Multiples Valuation'!F10</f>
        <v>77619.708958929841</v>
      </c>
      <c r="C11" s="19">
        <f>'Multiples Valuation'!G10</f>
        <v>116429.56343839476</v>
      </c>
      <c r="D11" s="22">
        <f>'Multiples Valuation'!H10</f>
        <v>155239.41791785968</v>
      </c>
      <c r="E11" s="52">
        <v>0.05</v>
      </c>
      <c r="F11" s="19">
        <f t="shared" si="0"/>
        <v>5821.4781719197381</v>
      </c>
    </row>
    <row r="12" spans="1:14" ht="15" customHeight="1" x14ac:dyDescent="0.25">
      <c r="A12" s="20" t="s">
        <v>710</v>
      </c>
      <c r="B12" s="21">
        <f>'Multiples Valuation'!F11</f>
        <v>76585.98092241821</v>
      </c>
      <c r="C12" s="19">
        <f>'Multiples Valuation'!G11</f>
        <v>95732.476153022755</v>
      </c>
      <c r="D12" s="22">
        <f>'Multiples Valuation'!H11</f>
        <v>114878.97138362731</v>
      </c>
      <c r="E12" s="52">
        <v>0.15</v>
      </c>
      <c r="F12" s="19">
        <f t="shared" si="0"/>
        <v>14359.871422953413</v>
      </c>
    </row>
    <row r="13" spans="1:14" ht="15" customHeight="1" x14ac:dyDescent="0.25">
      <c r="A13" s="20" t="s">
        <v>711</v>
      </c>
      <c r="B13" s="21">
        <f>'Multiples Valuation'!F12</f>
        <v>18130.450273470251</v>
      </c>
      <c r="C13" s="19">
        <f>'Multiples Valuation'!G12</f>
        <v>30217.417122450421</v>
      </c>
      <c r="D13" s="22">
        <f>'Multiples Valuation'!H12</f>
        <v>42304.383971430594</v>
      </c>
      <c r="E13" s="52">
        <v>0.05</v>
      </c>
      <c r="F13" s="19">
        <f t="shared" si="0"/>
        <v>1510.8708561225212</v>
      </c>
    </row>
    <row r="14" spans="1:14" ht="15" customHeight="1" x14ac:dyDescent="0.25">
      <c r="A14" s="20" t="s">
        <v>712</v>
      </c>
      <c r="B14" s="21">
        <f>'Multiples Valuation'!F13</f>
        <v>46662.128888582709</v>
      </c>
      <c r="C14" s="19">
        <f>'Multiples Valuation'!G13</f>
        <v>61107.769942851963</v>
      </c>
      <c r="D14" s="22">
        <f>'Multiples Valuation'!H13</f>
        <v>75553.410997121216</v>
      </c>
      <c r="E14" s="52">
        <v>0.05</v>
      </c>
      <c r="F14" s="19">
        <f t="shared" si="0"/>
        <v>3055.3884971425982</v>
      </c>
    </row>
    <row r="15" spans="1:14" ht="15" customHeight="1" x14ac:dyDescent="0.25">
      <c r="A15" s="18" t="s">
        <v>713</v>
      </c>
      <c r="E15" s="24">
        <f>SUM(E7:E14)</f>
        <v>1</v>
      </c>
      <c r="F15" s="23">
        <f>SUM(F7:F14)</f>
        <v>81133.780606421104</v>
      </c>
    </row>
    <row r="16" spans="1:14" ht="15" customHeight="1" x14ac:dyDescent="0.25">
      <c r="A16" s="35" t="s">
        <v>714</v>
      </c>
    </row>
    <row r="18" spans="1:12" ht="15" customHeight="1" x14ac:dyDescent="0.25">
      <c r="A18" s="16" t="s">
        <v>715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" customHeight="1" x14ac:dyDescent="0.25">
      <c r="A19" s="20" t="s">
        <v>716</v>
      </c>
      <c r="C19" s="19">
        <f>MIN(C7:C14)</f>
        <v>30217.417122450421</v>
      </c>
    </row>
    <row r="20" spans="1:12" ht="15" customHeight="1" x14ac:dyDescent="0.25">
      <c r="A20" s="20" t="s">
        <v>717</v>
      </c>
      <c r="C20" s="19">
        <f>QUARTILE(C7:C14,1)</f>
        <v>64314.074837081353</v>
      </c>
    </row>
    <row r="21" spans="1:12" ht="15" customHeight="1" x14ac:dyDescent="0.25">
      <c r="A21" s="20" t="s">
        <v>718</v>
      </c>
      <c r="C21" s="19">
        <f>MEDIAN(C7:C14)</f>
        <v>84976.786841879191</v>
      </c>
    </row>
    <row r="22" spans="1:12" ht="15" customHeight="1" x14ac:dyDescent="0.25">
      <c r="A22" s="18" t="s">
        <v>719</v>
      </c>
      <c r="C22" s="19">
        <f>'Scenario Analysis'!C56</f>
        <v>78068.37085346457</v>
      </c>
    </row>
    <row r="23" spans="1:12" ht="15" customHeight="1" x14ac:dyDescent="0.25">
      <c r="A23" s="18" t="s">
        <v>6</v>
      </c>
      <c r="C23" s="23">
        <f>F15</f>
        <v>81133.780606421104</v>
      </c>
    </row>
    <row r="24" spans="1:12" ht="15" customHeight="1" x14ac:dyDescent="0.25">
      <c r="A24" s="20" t="s">
        <v>720</v>
      </c>
      <c r="C24" s="19">
        <f>QUARTILE(C7:C14,3)</f>
        <v>104413.7109369534</v>
      </c>
    </row>
    <row r="25" spans="1:12" ht="15" customHeight="1" x14ac:dyDescent="0.25">
      <c r="A25" s="20" t="s">
        <v>721</v>
      </c>
      <c r="C25" s="19">
        <f>MAX(C7:C14)</f>
        <v>116429.56343839476</v>
      </c>
    </row>
    <row r="26" spans="1:12" ht="15" customHeight="1" x14ac:dyDescent="0.25">
      <c r="A26" s="18" t="s">
        <v>18</v>
      </c>
      <c r="C26" s="19">
        <f>Share_Price</f>
        <v>81200</v>
      </c>
    </row>
    <row r="27" spans="1:12" ht="15" customHeight="1" x14ac:dyDescent="0.25">
      <c r="A27" s="18" t="s">
        <v>25</v>
      </c>
      <c r="C27" s="24">
        <f>F15/Share_Price-1</f>
        <v>-8.1550977313915585E-4</v>
      </c>
    </row>
    <row r="29" spans="1:12" ht="15" customHeight="1" x14ac:dyDescent="0.25">
      <c r="A29" s="16" t="s">
        <v>722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5" customHeight="1" x14ac:dyDescent="0.25">
      <c r="A30" s="20" t="s">
        <v>707</v>
      </c>
      <c r="B30" s="19">
        <f t="shared" ref="B30:B37" si="1">B7</f>
        <v>23057.383132783474</v>
      </c>
      <c r="C30" s="19">
        <f t="shared" ref="C30:C37" si="2">D7-B7</f>
        <v>117716.52208682008</v>
      </c>
    </row>
    <row r="31" spans="1:12" ht="15" customHeight="1" x14ac:dyDescent="0.25">
      <c r="A31" s="20" t="s">
        <v>665</v>
      </c>
      <c r="B31" s="19">
        <f t="shared" si="1"/>
        <v>79743.761540168576</v>
      </c>
      <c r="C31" s="19">
        <f t="shared" si="2"/>
        <v>54155.846332766669</v>
      </c>
    </row>
    <row r="32" spans="1:12" ht="15" customHeight="1" x14ac:dyDescent="0.25">
      <c r="A32" s="20" t="s">
        <v>666</v>
      </c>
      <c r="B32" s="19">
        <f t="shared" si="1"/>
        <v>73582.178450115214</v>
      </c>
      <c r="C32" s="19">
        <f t="shared" si="2"/>
        <v>60057.749127277362</v>
      </c>
    </row>
    <row r="33" spans="1:3" ht="15" customHeight="1" x14ac:dyDescent="0.25">
      <c r="A33" s="20" t="s">
        <v>708</v>
      </c>
      <c r="B33" s="19">
        <f t="shared" si="1"/>
        <v>46276.314251118019</v>
      </c>
      <c r="C33" s="19">
        <f t="shared" si="2"/>
        <v>38213.057768079583</v>
      </c>
    </row>
    <row r="34" spans="1:3" ht="15" customHeight="1" x14ac:dyDescent="0.25">
      <c r="A34" s="20" t="s">
        <v>709</v>
      </c>
      <c r="B34" s="19">
        <f t="shared" si="1"/>
        <v>77619.708958929841</v>
      </c>
      <c r="C34" s="19">
        <f t="shared" si="2"/>
        <v>77619.708958929841</v>
      </c>
    </row>
    <row r="35" spans="1:3" ht="15" customHeight="1" x14ac:dyDescent="0.25">
      <c r="A35" s="20" t="s">
        <v>710</v>
      </c>
      <c r="B35" s="19">
        <f t="shared" si="1"/>
        <v>76585.98092241821</v>
      </c>
      <c r="C35" s="19">
        <f t="shared" si="2"/>
        <v>38292.990461209105</v>
      </c>
    </row>
    <row r="36" spans="1:3" ht="15" customHeight="1" x14ac:dyDescent="0.25">
      <c r="A36" s="20" t="s">
        <v>711</v>
      </c>
      <c r="B36" s="19">
        <f t="shared" si="1"/>
        <v>18130.450273470251</v>
      </c>
      <c r="C36" s="19">
        <f t="shared" si="2"/>
        <v>24173.933697960343</v>
      </c>
    </row>
    <row r="37" spans="1:3" ht="15" customHeight="1" x14ac:dyDescent="0.25">
      <c r="A37" s="20" t="s">
        <v>712</v>
      </c>
      <c r="B37" s="19">
        <f t="shared" si="1"/>
        <v>46662.128888582709</v>
      </c>
      <c r="C37" s="19">
        <f t="shared" si="2"/>
        <v>28891.282108538508</v>
      </c>
    </row>
  </sheetData>
  <phoneticPr fontId="3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9"/>
  <sheetViews>
    <sheetView showGridLines="0" zoomScaleNormal="100" workbookViewId="0"/>
  </sheetViews>
  <sheetFormatPr defaultColWidth="8.7109375" defaultRowHeight="15" x14ac:dyDescent="0.25"/>
  <cols>
    <col min="1" max="1" width="24" style="1" customWidth="1"/>
    <col min="2" max="2" width="12" style="1" customWidth="1"/>
    <col min="3" max="3" width="13" style="1" customWidth="1"/>
    <col min="4" max="4" width="12" style="1" customWidth="1"/>
    <col min="5" max="6" width="40" style="1" customWidth="1"/>
    <col min="7" max="7" width="14" style="1" customWidth="1"/>
    <col min="8" max="8" width="2" style="1" customWidth="1"/>
    <col min="9" max="9" width="50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723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724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725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23.25" customHeight="1" x14ac:dyDescent="0.25">
      <c r="B6" s="65" t="s">
        <v>546</v>
      </c>
      <c r="C6" s="65" t="s">
        <v>726</v>
      </c>
      <c r="D6" s="65" t="s">
        <v>727</v>
      </c>
      <c r="E6" s="65" t="s">
        <v>728</v>
      </c>
      <c r="F6" s="65" t="s">
        <v>729</v>
      </c>
      <c r="G6" s="65" t="s">
        <v>730</v>
      </c>
    </row>
    <row r="7" spans="1:14" ht="15" customHeight="1" x14ac:dyDescent="0.25">
      <c r="A7" s="18" t="s">
        <v>731</v>
      </c>
      <c r="B7" s="52">
        <v>0.05</v>
      </c>
      <c r="C7" s="37">
        <v>20000</v>
      </c>
      <c r="D7" s="77">
        <f>C7/Share_Price-1</f>
        <v>-0.75369458128078815</v>
      </c>
      <c r="E7" s="62" t="s">
        <v>732</v>
      </c>
      <c r="F7" s="62" t="s">
        <v>733</v>
      </c>
      <c r="G7" s="87">
        <f>(C7*Diluted_Shares/1000+Total_Adj)/'Operating Model'!G15</f>
        <v>1.4312896018423056</v>
      </c>
    </row>
    <row r="8" spans="1:14" ht="15" customHeight="1" x14ac:dyDescent="0.25">
      <c r="A8" s="18" t="s">
        <v>127</v>
      </c>
      <c r="B8" s="52">
        <v>0.2</v>
      </c>
      <c r="C8" s="37">
        <v>45000</v>
      </c>
      <c r="D8" s="77">
        <f>C8/Share_Price-1</f>
        <v>-0.44581280788177335</v>
      </c>
      <c r="E8" s="62" t="s">
        <v>734</v>
      </c>
      <c r="F8" s="62" t="s">
        <v>735</v>
      </c>
      <c r="G8" s="87">
        <f>(C8*Diluted_Shares/1000+Total_Adj)/'Operating Model'!G15</f>
        <v>3.0963536685637383</v>
      </c>
    </row>
    <row r="9" spans="1:14" ht="15" customHeight="1" x14ac:dyDescent="0.25">
      <c r="A9" s="18" t="s">
        <v>128</v>
      </c>
      <c r="B9" s="52">
        <v>0.4</v>
      </c>
      <c r="C9" s="37">
        <v>72000</v>
      </c>
      <c r="D9" s="24">
        <f>C9/Share_Price-1</f>
        <v>-0.11330049261083741</v>
      </c>
      <c r="E9" s="62" t="s">
        <v>736</v>
      </c>
      <c r="F9" s="62" t="s">
        <v>737</v>
      </c>
      <c r="G9" s="32">
        <f>(C9*Diluted_Shares/1000+Total_Adj)/'Operating Model'!G15</f>
        <v>4.8946228606228859</v>
      </c>
    </row>
    <row r="10" spans="1:14" ht="15" customHeight="1" x14ac:dyDescent="0.25">
      <c r="A10" s="18" t="s">
        <v>129</v>
      </c>
      <c r="B10" s="52">
        <v>0.25</v>
      </c>
      <c r="C10" s="37">
        <v>100000</v>
      </c>
      <c r="D10" s="78">
        <f>C10/Share_Price-1</f>
        <v>0.23152709359605916</v>
      </c>
      <c r="E10" s="62" t="s">
        <v>738</v>
      </c>
      <c r="F10" s="62" t="s">
        <v>739</v>
      </c>
      <c r="G10" s="88">
        <f>(C10*Diluted_Shares/1000+Total_Adj)/'Operating Model'!G15</f>
        <v>6.7594946153508904</v>
      </c>
    </row>
    <row r="11" spans="1:14" ht="15" customHeight="1" x14ac:dyDescent="0.25">
      <c r="A11" s="18" t="s">
        <v>740</v>
      </c>
      <c r="B11" s="52">
        <v>0.1</v>
      </c>
      <c r="C11" s="37">
        <v>130000</v>
      </c>
      <c r="D11" s="78">
        <f>C11/Share_Price-1</f>
        <v>0.60098522167487678</v>
      </c>
      <c r="E11" s="62" t="s">
        <v>741</v>
      </c>
      <c r="F11" s="62" t="s">
        <v>742</v>
      </c>
      <c r="G11" s="88">
        <f>(C11*Diluted_Shares/1000+Total_Adj)/'Operating Model'!G15</f>
        <v>8.7575714954166113</v>
      </c>
    </row>
    <row r="13" spans="1:14" ht="15" customHeight="1" x14ac:dyDescent="0.25">
      <c r="A13" s="20" t="s">
        <v>743</v>
      </c>
      <c r="C13" s="24">
        <f>SUM(B7:B11)</f>
        <v>1</v>
      </c>
    </row>
    <row r="14" spans="1:14" ht="15" customHeight="1" x14ac:dyDescent="0.25">
      <c r="A14" s="18" t="s">
        <v>744</v>
      </c>
      <c r="C14" s="23">
        <f>SUMPRODUCT(B7:B11,C7:C11)</f>
        <v>76800</v>
      </c>
    </row>
    <row r="15" spans="1:14" ht="15" customHeight="1" x14ac:dyDescent="0.25">
      <c r="A15" s="18" t="s">
        <v>11</v>
      </c>
      <c r="C15" s="24">
        <f>SUMPRODUCT(B7:B11,D7:D11)</f>
        <v>-5.4187192118226563E-2</v>
      </c>
    </row>
    <row r="16" spans="1:14" ht="15" customHeight="1" x14ac:dyDescent="0.25">
      <c r="A16" s="20" t="s">
        <v>745</v>
      </c>
      <c r="C16" s="19">
        <f>MEDIAN(C7:C11)</f>
        <v>72000</v>
      </c>
    </row>
    <row r="17" spans="1:12" ht="15" customHeight="1" x14ac:dyDescent="0.25">
      <c r="A17" s="20" t="s">
        <v>746</v>
      </c>
      <c r="C17" s="19">
        <f>QUARTILE(C7:C11,1)</f>
        <v>45000</v>
      </c>
    </row>
    <row r="18" spans="1:12" ht="15" customHeight="1" x14ac:dyDescent="0.25">
      <c r="A18" s="20" t="s">
        <v>747</v>
      </c>
      <c r="C18" s="19">
        <f>QUARTILE(C7:C11,3)</f>
        <v>100000</v>
      </c>
    </row>
    <row r="19" spans="1:12" ht="15" customHeight="1" x14ac:dyDescent="0.25">
      <c r="A19" s="20" t="s">
        <v>748</v>
      </c>
      <c r="C19" s="24">
        <f>SUMPRODUCT((C7:C11&lt;Share_Price)*B7:B11)</f>
        <v>0.65</v>
      </c>
    </row>
    <row r="20" spans="1:12" ht="15" customHeight="1" x14ac:dyDescent="0.25">
      <c r="A20" s="20" t="s">
        <v>749</v>
      </c>
      <c r="C20" s="24">
        <f>SUMPRODUCT((D7:D11&lt;-0.2)*B7:B11)</f>
        <v>0.25</v>
      </c>
    </row>
    <row r="21" spans="1:12" ht="15" customHeight="1" x14ac:dyDescent="0.25">
      <c r="A21" s="20" t="s">
        <v>750</v>
      </c>
      <c r="C21" s="24">
        <f>SUMPRODUCT((D7:D11&gt;0.2)*B7:B11)</f>
        <v>0.35</v>
      </c>
    </row>
    <row r="22" spans="1:12" ht="15" customHeight="1" x14ac:dyDescent="0.25">
      <c r="A22" s="20" t="s">
        <v>751</v>
      </c>
      <c r="C22" s="24">
        <f>SUMPRODUCT((D7:D11&gt;0.06)*B7:B11)</f>
        <v>0.35</v>
      </c>
    </row>
    <row r="23" spans="1:12" ht="15" customHeight="1" x14ac:dyDescent="0.25">
      <c r="A23" s="20" t="s">
        <v>752</v>
      </c>
      <c r="C23" s="24">
        <f>SUMPRODUCT((D7:D11&gt;0.07)*B7:B11)</f>
        <v>0.35</v>
      </c>
    </row>
    <row r="24" spans="1:12" ht="15" customHeight="1" x14ac:dyDescent="0.25">
      <c r="A24" s="35" t="s">
        <v>753</v>
      </c>
    </row>
    <row r="26" spans="1:12" ht="15" customHeight="1" x14ac:dyDescent="0.25">
      <c r="A26" s="16" t="s">
        <v>754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5" customHeight="1" x14ac:dyDescent="0.25">
      <c r="A27" s="18" t="s">
        <v>755</v>
      </c>
      <c r="B27" s="37">
        <v>45000</v>
      </c>
      <c r="C27" s="37">
        <v>100000</v>
      </c>
      <c r="E27" s="35" t="s">
        <v>756</v>
      </c>
    </row>
    <row r="28" spans="1:12" ht="15" customHeight="1" x14ac:dyDescent="0.25">
      <c r="A28" s="18" t="s">
        <v>757</v>
      </c>
      <c r="B28" s="37">
        <v>35000</v>
      </c>
      <c r="C28" s="37">
        <v>110000</v>
      </c>
      <c r="E28" s="35" t="s">
        <v>756</v>
      </c>
    </row>
    <row r="29" spans="1:12" ht="15" customHeight="1" x14ac:dyDescent="0.25">
      <c r="A29" s="18" t="s">
        <v>758</v>
      </c>
      <c r="B29" s="37">
        <v>30000</v>
      </c>
      <c r="C29" s="37">
        <v>120000</v>
      </c>
      <c r="E29" s="35" t="s">
        <v>756</v>
      </c>
    </row>
  </sheetData>
  <phoneticPr fontId="3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0"/>
  <sheetViews>
    <sheetView showGridLines="0" zoomScaleNormal="100" workbookViewId="0"/>
  </sheetViews>
  <sheetFormatPr defaultColWidth="8.7109375" defaultRowHeight="15" x14ac:dyDescent="0.25"/>
  <cols>
    <col min="1" max="1" width="5" style="1" customWidth="1"/>
    <col min="2" max="2" width="115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759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760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761</v>
      </c>
      <c r="B5" s="17"/>
      <c r="C5" s="17"/>
      <c r="D5" s="17"/>
      <c r="E5" s="17"/>
      <c r="F5" s="17"/>
      <c r="G5" s="17"/>
      <c r="H5" s="17"/>
    </row>
    <row r="6" spans="1:14" ht="15" customHeight="1" x14ac:dyDescent="0.25">
      <c r="A6" s="18" t="s">
        <v>762</v>
      </c>
      <c r="B6" s="20" t="s">
        <v>763</v>
      </c>
    </row>
    <row r="7" spans="1:14" ht="15" customHeight="1" x14ac:dyDescent="0.25">
      <c r="A7" s="18" t="s">
        <v>762</v>
      </c>
      <c r="B7" s="20" t="s">
        <v>764</v>
      </c>
    </row>
    <row r="8" spans="1:14" ht="15" customHeight="1" x14ac:dyDescent="0.25">
      <c r="A8" s="18" t="s">
        <v>762</v>
      </c>
      <c r="B8" s="20" t="s">
        <v>765</v>
      </c>
    </row>
    <row r="9" spans="1:14" ht="15" customHeight="1" x14ac:dyDescent="0.25">
      <c r="A9" s="18" t="s">
        <v>762</v>
      </c>
      <c r="B9" s="20" t="s">
        <v>766</v>
      </c>
    </row>
    <row r="10" spans="1:14" ht="15" customHeight="1" x14ac:dyDescent="0.25">
      <c r="A10" s="18" t="s">
        <v>762</v>
      </c>
      <c r="B10" s="20" t="s">
        <v>767</v>
      </c>
    </row>
    <row r="12" spans="1:14" ht="15" customHeight="1" x14ac:dyDescent="0.25">
      <c r="A12" s="16" t="s">
        <v>768</v>
      </c>
      <c r="B12" s="17"/>
      <c r="C12" s="17"/>
      <c r="D12" s="17"/>
      <c r="E12" s="17"/>
      <c r="F12" s="17"/>
      <c r="G12" s="17"/>
      <c r="H12" s="17"/>
    </row>
    <row r="13" spans="1:14" ht="15" customHeight="1" x14ac:dyDescent="0.25">
      <c r="A13" s="18" t="s">
        <v>762</v>
      </c>
      <c r="B13" s="20" t="s">
        <v>769</v>
      </c>
    </row>
    <row r="14" spans="1:14" ht="15" customHeight="1" x14ac:dyDescent="0.25">
      <c r="A14" s="18" t="s">
        <v>762</v>
      </c>
      <c r="B14" s="20" t="s">
        <v>770</v>
      </c>
    </row>
    <row r="15" spans="1:14" ht="15" customHeight="1" x14ac:dyDescent="0.25">
      <c r="A15" s="18" t="s">
        <v>762</v>
      </c>
      <c r="B15" s="20" t="s">
        <v>771</v>
      </c>
    </row>
    <row r="16" spans="1:14" ht="15" customHeight="1" x14ac:dyDescent="0.25">
      <c r="A16" s="18" t="s">
        <v>762</v>
      </c>
      <c r="B16" s="20" t="s">
        <v>772</v>
      </c>
    </row>
    <row r="17" spans="1:8" ht="15" customHeight="1" x14ac:dyDescent="0.25">
      <c r="A17" s="18" t="s">
        <v>762</v>
      </c>
      <c r="B17" s="20" t="s">
        <v>773</v>
      </c>
    </row>
    <row r="19" spans="1:8" ht="15" customHeight="1" x14ac:dyDescent="0.25">
      <c r="A19" s="16" t="s">
        <v>774</v>
      </c>
      <c r="B19" s="17"/>
      <c r="C19" s="17"/>
      <c r="D19" s="17"/>
      <c r="E19" s="17"/>
      <c r="F19" s="17"/>
      <c r="G19" s="17"/>
      <c r="H19" s="17"/>
    </row>
    <row r="20" spans="1:8" ht="15" customHeight="1" x14ac:dyDescent="0.25">
      <c r="A20" s="18" t="s">
        <v>762</v>
      </c>
      <c r="B20" s="20" t="s">
        <v>775</v>
      </c>
    </row>
    <row r="21" spans="1:8" ht="15" customHeight="1" x14ac:dyDescent="0.25">
      <c r="A21" s="18" t="s">
        <v>762</v>
      </c>
      <c r="B21" s="20" t="s">
        <v>776</v>
      </c>
    </row>
    <row r="22" spans="1:8" ht="15" customHeight="1" x14ac:dyDescent="0.25">
      <c r="A22" s="18" t="s">
        <v>762</v>
      </c>
      <c r="B22" s="20" t="s">
        <v>777</v>
      </c>
    </row>
    <row r="23" spans="1:8" ht="15" customHeight="1" x14ac:dyDescent="0.25">
      <c r="A23" s="18" t="s">
        <v>762</v>
      </c>
      <c r="B23" s="20" t="s">
        <v>778</v>
      </c>
    </row>
    <row r="24" spans="1:8" ht="15" customHeight="1" x14ac:dyDescent="0.25">
      <c r="A24" s="18" t="s">
        <v>762</v>
      </c>
      <c r="B24" s="20" t="s">
        <v>779</v>
      </c>
    </row>
    <row r="25" spans="1:8" ht="15" customHeight="1" x14ac:dyDescent="0.25">
      <c r="A25" s="18" t="s">
        <v>762</v>
      </c>
      <c r="B25" s="20" t="s">
        <v>780</v>
      </c>
    </row>
    <row r="27" spans="1:8" ht="15" customHeight="1" x14ac:dyDescent="0.25">
      <c r="A27" s="16" t="s">
        <v>781</v>
      </c>
      <c r="B27" s="17"/>
      <c r="C27" s="17"/>
      <c r="D27" s="17"/>
      <c r="E27" s="17"/>
      <c r="F27" s="17"/>
      <c r="G27" s="17"/>
      <c r="H27" s="17"/>
    </row>
    <row r="28" spans="1:8" ht="15" customHeight="1" x14ac:dyDescent="0.25">
      <c r="A28" s="18" t="s">
        <v>762</v>
      </c>
      <c r="B28" s="20" t="s">
        <v>782</v>
      </c>
    </row>
    <row r="29" spans="1:8" ht="15" customHeight="1" x14ac:dyDescent="0.25">
      <c r="A29" s="18" t="s">
        <v>762</v>
      </c>
      <c r="B29" s="20" t="s">
        <v>783</v>
      </c>
    </row>
    <row r="30" spans="1:8" ht="15" customHeight="1" x14ac:dyDescent="0.25">
      <c r="A30" s="18" t="s">
        <v>762</v>
      </c>
      <c r="B30" s="20" t="s">
        <v>784</v>
      </c>
    </row>
    <row r="31" spans="1:8" ht="15" customHeight="1" x14ac:dyDescent="0.25">
      <c r="A31" s="18" t="s">
        <v>762</v>
      </c>
      <c r="B31" s="20" t="s">
        <v>785</v>
      </c>
    </row>
    <row r="32" spans="1:8" ht="15" customHeight="1" x14ac:dyDescent="0.25">
      <c r="A32" s="18" t="s">
        <v>762</v>
      </c>
      <c r="B32" s="20" t="s">
        <v>786</v>
      </c>
    </row>
    <row r="33" spans="1:8" ht="15" customHeight="1" x14ac:dyDescent="0.25">
      <c r="A33" s="18" t="s">
        <v>762</v>
      </c>
      <c r="B33" s="20" t="s">
        <v>787</v>
      </c>
    </row>
    <row r="34" spans="1:8" ht="15" customHeight="1" x14ac:dyDescent="0.25">
      <c r="A34" s="18" t="s">
        <v>762</v>
      </c>
      <c r="B34" s="20" t="s">
        <v>788</v>
      </c>
    </row>
    <row r="35" spans="1:8" ht="15" customHeight="1" x14ac:dyDescent="0.25">
      <c r="A35" s="18" t="s">
        <v>762</v>
      </c>
      <c r="B35" s="20" t="s">
        <v>789</v>
      </c>
    </row>
    <row r="37" spans="1:8" ht="15" customHeight="1" x14ac:dyDescent="0.25">
      <c r="A37" s="16" t="s">
        <v>790</v>
      </c>
      <c r="B37" s="17"/>
      <c r="C37" s="17"/>
      <c r="D37" s="17"/>
      <c r="E37" s="17"/>
      <c r="F37" s="17"/>
      <c r="G37" s="17"/>
      <c r="H37" s="17"/>
    </row>
    <row r="38" spans="1:8" ht="15" customHeight="1" x14ac:dyDescent="0.25">
      <c r="A38" s="18" t="s">
        <v>762</v>
      </c>
      <c r="B38" s="20" t="s">
        <v>791</v>
      </c>
    </row>
    <row r="39" spans="1:8" ht="15" customHeight="1" x14ac:dyDescent="0.25">
      <c r="A39" s="18" t="s">
        <v>762</v>
      </c>
      <c r="B39" s="20" t="s">
        <v>792</v>
      </c>
    </row>
    <row r="40" spans="1:8" ht="15" customHeight="1" x14ac:dyDescent="0.25">
      <c r="A40" s="18" t="s">
        <v>762</v>
      </c>
      <c r="B40" s="20" t="s">
        <v>793</v>
      </c>
    </row>
    <row r="41" spans="1:8" ht="15" customHeight="1" x14ac:dyDescent="0.25">
      <c r="A41" s="18" t="s">
        <v>762</v>
      </c>
      <c r="B41" s="20" t="s">
        <v>794</v>
      </c>
    </row>
    <row r="42" spans="1:8" ht="15" customHeight="1" x14ac:dyDescent="0.25">
      <c r="A42" s="18" t="s">
        <v>762</v>
      </c>
      <c r="B42" s="20" t="s">
        <v>795</v>
      </c>
    </row>
    <row r="43" spans="1:8" ht="15" customHeight="1" x14ac:dyDescent="0.25">
      <c r="A43" s="18" t="s">
        <v>762</v>
      </c>
      <c r="B43" s="20" t="s">
        <v>796</v>
      </c>
    </row>
    <row r="44" spans="1:8" ht="15" customHeight="1" x14ac:dyDescent="0.25">
      <c r="A44" s="18" t="s">
        <v>762</v>
      </c>
      <c r="B44" s="20" t="s">
        <v>797</v>
      </c>
    </row>
    <row r="45" spans="1:8" ht="15" customHeight="1" x14ac:dyDescent="0.25">
      <c r="A45" s="18" t="s">
        <v>762</v>
      </c>
      <c r="B45" s="20" t="s">
        <v>798</v>
      </c>
    </row>
    <row r="46" spans="1:8" ht="15" customHeight="1" x14ac:dyDescent="0.25">
      <c r="A46" s="18" t="s">
        <v>762</v>
      </c>
      <c r="B46" s="20" t="s">
        <v>799</v>
      </c>
    </row>
    <row r="47" spans="1:8" ht="15" customHeight="1" x14ac:dyDescent="0.25">
      <c r="A47" s="18" t="s">
        <v>762</v>
      </c>
      <c r="B47" s="20" t="s">
        <v>800</v>
      </c>
    </row>
    <row r="49" spans="1:8" ht="15" customHeight="1" x14ac:dyDescent="0.25">
      <c r="A49" s="16" t="s">
        <v>801</v>
      </c>
      <c r="B49" s="17"/>
      <c r="C49" s="17"/>
      <c r="D49" s="17"/>
      <c r="E49" s="17"/>
      <c r="F49" s="17"/>
      <c r="G49" s="17"/>
      <c r="H49" s="17"/>
    </row>
    <row r="50" spans="1:8" ht="15" customHeight="1" x14ac:dyDescent="0.25">
      <c r="A50" s="18" t="s">
        <v>762</v>
      </c>
      <c r="B50" s="20" t="s">
        <v>802</v>
      </c>
    </row>
    <row r="51" spans="1:8" ht="15" customHeight="1" x14ac:dyDescent="0.25">
      <c r="A51" s="18" t="s">
        <v>762</v>
      </c>
      <c r="B51" s="20" t="s">
        <v>803</v>
      </c>
    </row>
    <row r="52" spans="1:8" ht="15" customHeight="1" x14ac:dyDescent="0.25">
      <c r="A52" s="18" t="s">
        <v>762</v>
      </c>
      <c r="B52" s="20" t="s">
        <v>804</v>
      </c>
    </row>
    <row r="53" spans="1:8" ht="15" customHeight="1" x14ac:dyDescent="0.25">
      <c r="A53" s="18" t="s">
        <v>762</v>
      </c>
      <c r="B53" s="20" t="s">
        <v>805</v>
      </c>
    </row>
    <row r="55" spans="1:8" ht="15" customHeight="1" x14ac:dyDescent="0.25">
      <c r="A55" s="16" t="s">
        <v>806</v>
      </c>
      <c r="B55" s="17"/>
      <c r="C55" s="17"/>
      <c r="D55" s="17"/>
      <c r="E55" s="17"/>
      <c r="F55" s="17"/>
      <c r="G55" s="17"/>
      <c r="H55" s="17"/>
    </row>
    <row r="56" spans="1:8" ht="15" customHeight="1" x14ac:dyDescent="0.25">
      <c r="A56" s="18" t="s">
        <v>762</v>
      </c>
      <c r="B56" s="20" t="s">
        <v>807</v>
      </c>
    </row>
    <row r="57" spans="1:8" ht="15" customHeight="1" x14ac:dyDescent="0.25">
      <c r="A57" s="18" t="s">
        <v>762</v>
      </c>
      <c r="B57" s="20" t="s">
        <v>808</v>
      </c>
    </row>
    <row r="58" spans="1:8" ht="15" customHeight="1" x14ac:dyDescent="0.25">
      <c r="A58" s="18" t="s">
        <v>762</v>
      </c>
      <c r="B58" s="20" t="s">
        <v>809</v>
      </c>
    </row>
    <row r="59" spans="1:8" ht="15" customHeight="1" x14ac:dyDescent="0.25">
      <c r="A59" s="18" t="s">
        <v>762</v>
      </c>
      <c r="B59" s="20" t="s">
        <v>810</v>
      </c>
    </row>
    <row r="60" spans="1:8" ht="15" customHeight="1" x14ac:dyDescent="0.25">
      <c r="A60" s="18" t="s">
        <v>762</v>
      </c>
      <c r="B60" s="20" t="s">
        <v>811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8"/>
  <sheetViews>
    <sheetView showGridLines="0" zoomScaleNormal="100" workbookViewId="0"/>
  </sheetViews>
  <sheetFormatPr defaultColWidth="8.7109375" defaultRowHeight="15" x14ac:dyDescent="0.25"/>
  <cols>
    <col min="1" max="1" width="6" style="1" customWidth="1"/>
    <col min="2" max="2" width="26" style="1" customWidth="1"/>
    <col min="3" max="3" width="56" style="1" customWidth="1"/>
    <col min="4" max="5" width="13" style="1" customWidth="1"/>
    <col min="6" max="6" width="7" style="1" customWidth="1"/>
    <col min="7" max="7" width="44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812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813</v>
      </c>
    </row>
    <row r="3" spans="1:14" ht="15" customHeight="1" x14ac:dyDescent="0.25">
      <c r="A3" s="15" t="s">
        <v>16</v>
      </c>
    </row>
    <row r="5" spans="1:14" ht="15" customHeight="1" x14ac:dyDescent="0.25">
      <c r="A5" s="86" t="s">
        <v>814</v>
      </c>
      <c r="B5" s="86" t="s">
        <v>815</v>
      </c>
      <c r="C5" s="86" t="s">
        <v>816</v>
      </c>
      <c r="D5" s="86" t="s">
        <v>817</v>
      </c>
      <c r="E5" s="86" t="s">
        <v>818</v>
      </c>
      <c r="F5" s="86" t="s">
        <v>819</v>
      </c>
      <c r="G5" s="86" t="s">
        <v>820</v>
      </c>
    </row>
    <row r="6" spans="1:14" ht="25.5" customHeight="1" x14ac:dyDescent="0.25">
      <c r="A6" s="62">
        <v>1</v>
      </c>
      <c r="B6" s="89" t="s">
        <v>630</v>
      </c>
      <c r="C6" s="90" t="s">
        <v>821</v>
      </c>
      <c r="D6" s="89" t="s">
        <v>822</v>
      </c>
      <c r="E6" s="89" t="s">
        <v>823</v>
      </c>
      <c r="F6" s="89" t="s">
        <v>824</v>
      </c>
      <c r="G6" s="90" t="s">
        <v>825</v>
      </c>
    </row>
    <row r="7" spans="1:14" ht="25.5" customHeight="1" x14ac:dyDescent="0.25">
      <c r="A7" s="62">
        <v>2</v>
      </c>
      <c r="B7" s="89" t="s">
        <v>630</v>
      </c>
      <c r="C7" s="90" t="s">
        <v>826</v>
      </c>
      <c r="D7" s="89" t="s">
        <v>822</v>
      </c>
      <c r="E7" s="89" t="s">
        <v>823</v>
      </c>
      <c r="F7" s="89" t="s">
        <v>824</v>
      </c>
      <c r="G7" s="90" t="s">
        <v>827</v>
      </c>
    </row>
    <row r="8" spans="1:14" ht="25.5" customHeight="1" x14ac:dyDescent="0.25">
      <c r="A8" s="62">
        <v>3</v>
      </c>
      <c r="B8" s="89" t="s">
        <v>630</v>
      </c>
      <c r="C8" s="90" t="s">
        <v>828</v>
      </c>
      <c r="D8" s="89" t="s">
        <v>829</v>
      </c>
      <c r="E8" s="89" t="s">
        <v>823</v>
      </c>
      <c r="F8" s="89" t="s">
        <v>824</v>
      </c>
      <c r="G8" s="90" t="s">
        <v>827</v>
      </c>
    </row>
    <row r="9" spans="1:14" ht="25.5" customHeight="1" x14ac:dyDescent="0.25">
      <c r="A9" s="62">
        <v>4</v>
      </c>
      <c r="B9" s="89" t="s">
        <v>630</v>
      </c>
      <c r="C9" s="90" t="s">
        <v>830</v>
      </c>
      <c r="D9" s="89" t="s">
        <v>822</v>
      </c>
      <c r="E9" s="89" t="s">
        <v>823</v>
      </c>
      <c r="F9" s="89" t="s">
        <v>824</v>
      </c>
      <c r="G9" s="90" t="s">
        <v>831</v>
      </c>
    </row>
    <row r="10" spans="1:14" ht="25.5" customHeight="1" x14ac:dyDescent="0.25">
      <c r="A10" s="62">
        <v>5</v>
      </c>
      <c r="B10" s="89" t="s">
        <v>832</v>
      </c>
      <c r="C10" s="90" t="s">
        <v>833</v>
      </c>
      <c r="D10" s="89" t="s">
        <v>60</v>
      </c>
      <c r="E10" s="89" t="s">
        <v>823</v>
      </c>
      <c r="F10" s="89" t="s">
        <v>834</v>
      </c>
      <c r="G10" s="90" t="s">
        <v>835</v>
      </c>
    </row>
    <row r="11" spans="1:14" ht="25.5" customHeight="1" x14ac:dyDescent="0.25">
      <c r="A11" s="62">
        <v>6</v>
      </c>
      <c r="B11" s="89" t="s">
        <v>836</v>
      </c>
      <c r="C11" s="90" t="s">
        <v>837</v>
      </c>
      <c r="D11" s="89" t="s">
        <v>838</v>
      </c>
      <c r="E11" s="89" t="s">
        <v>823</v>
      </c>
      <c r="F11" s="89" t="s">
        <v>834</v>
      </c>
      <c r="G11" s="90" t="s">
        <v>839</v>
      </c>
    </row>
    <row r="12" spans="1:14" ht="25.5" customHeight="1" x14ac:dyDescent="0.25">
      <c r="A12" s="62">
        <v>7</v>
      </c>
      <c r="B12" s="89" t="s">
        <v>840</v>
      </c>
      <c r="C12" s="90" t="s">
        <v>841</v>
      </c>
      <c r="D12" s="89" t="s">
        <v>842</v>
      </c>
      <c r="E12" s="89" t="s">
        <v>823</v>
      </c>
      <c r="F12" s="89" t="s">
        <v>843</v>
      </c>
      <c r="G12" s="90" t="s">
        <v>844</v>
      </c>
    </row>
    <row r="13" spans="1:14" ht="25.5" customHeight="1" x14ac:dyDescent="0.25">
      <c r="A13" s="62">
        <v>8</v>
      </c>
      <c r="B13" s="89" t="s">
        <v>840</v>
      </c>
      <c r="C13" s="90" t="s">
        <v>845</v>
      </c>
      <c r="D13" s="89" t="s">
        <v>846</v>
      </c>
      <c r="E13" s="89" t="s">
        <v>823</v>
      </c>
      <c r="F13" s="89" t="s">
        <v>843</v>
      </c>
      <c r="G13" s="90" t="s">
        <v>847</v>
      </c>
    </row>
    <row r="14" spans="1:14" ht="25.5" customHeight="1" x14ac:dyDescent="0.25">
      <c r="A14" s="62">
        <v>9</v>
      </c>
      <c r="B14" s="89" t="s">
        <v>840</v>
      </c>
      <c r="C14" s="90" t="s">
        <v>848</v>
      </c>
      <c r="D14" s="89" t="s">
        <v>849</v>
      </c>
      <c r="E14" s="89" t="s">
        <v>823</v>
      </c>
      <c r="F14" s="89" t="s">
        <v>843</v>
      </c>
      <c r="G14" s="90" t="s">
        <v>850</v>
      </c>
    </row>
    <row r="15" spans="1:14" ht="25.5" customHeight="1" x14ac:dyDescent="0.25">
      <c r="A15" s="62">
        <v>10</v>
      </c>
      <c r="B15" s="89" t="s">
        <v>840</v>
      </c>
      <c r="C15" s="90" t="s">
        <v>851</v>
      </c>
      <c r="D15" s="89" t="s">
        <v>852</v>
      </c>
      <c r="E15" s="89" t="s">
        <v>823</v>
      </c>
      <c r="F15" s="89" t="s">
        <v>843</v>
      </c>
      <c r="G15" s="90" t="s">
        <v>853</v>
      </c>
    </row>
    <row r="16" spans="1:14" ht="25.5" customHeight="1" x14ac:dyDescent="0.25">
      <c r="A16" s="62">
        <v>11</v>
      </c>
      <c r="B16" s="89" t="s">
        <v>854</v>
      </c>
      <c r="C16" s="90" t="s">
        <v>855</v>
      </c>
      <c r="D16" s="89" t="s">
        <v>856</v>
      </c>
      <c r="E16" s="89" t="s">
        <v>823</v>
      </c>
      <c r="F16" s="89" t="s">
        <v>843</v>
      </c>
      <c r="G16" s="90" t="s">
        <v>857</v>
      </c>
    </row>
    <row r="17" spans="1:7" ht="25.5" customHeight="1" x14ac:dyDescent="0.25">
      <c r="A17" s="62">
        <v>12</v>
      </c>
      <c r="B17" s="89" t="s">
        <v>858</v>
      </c>
      <c r="C17" s="90" t="s">
        <v>859</v>
      </c>
      <c r="D17" s="89" t="s">
        <v>860</v>
      </c>
      <c r="E17" s="89" t="s">
        <v>823</v>
      </c>
      <c r="F17" s="89" t="s">
        <v>843</v>
      </c>
      <c r="G17" s="90" t="s">
        <v>861</v>
      </c>
    </row>
    <row r="18" spans="1:7" ht="25.5" customHeight="1" x14ac:dyDescent="0.25">
      <c r="A18" s="62">
        <v>13</v>
      </c>
      <c r="B18" s="89" t="s">
        <v>862</v>
      </c>
      <c r="C18" s="90" t="s">
        <v>863</v>
      </c>
      <c r="D18" s="89" t="s">
        <v>60</v>
      </c>
      <c r="E18" s="89" t="s">
        <v>823</v>
      </c>
      <c r="F18" s="89" t="s">
        <v>834</v>
      </c>
      <c r="G18" s="90" t="s">
        <v>864</v>
      </c>
    </row>
    <row r="19" spans="1:7" ht="25.5" customHeight="1" x14ac:dyDescent="0.25">
      <c r="A19" s="62">
        <v>14</v>
      </c>
      <c r="B19" s="89" t="s">
        <v>865</v>
      </c>
      <c r="C19" s="90" t="s">
        <v>866</v>
      </c>
      <c r="D19" s="89" t="s">
        <v>60</v>
      </c>
      <c r="E19" s="89" t="s">
        <v>823</v>
      </c>
      <c r="F19" s="89" t="s">
        <v>834</v>
      </c>
      <c r="G19" s="90" t="s">
        <v>867</v>
      </c>
    </row>
    <row r="20" spans="1:7" ht="25.5" customHeight="1" x14ac:dyDescent="0.25">
      <c r="A20" s="62">
        <v>15</v>
      </c>
      <c r="B20" s="89" t="s">
        <v>868</v>
      </c>
      <c r="C20" s="90" t="s">
        <v>869</v>
      </c>
      <c r="D20" s="89" t="s">
        <v>60</v>
      </c>
      <c r="E20" s="89" t="s">
        <v>823</v>
      </c>
      <c r="F20" s="89" t="s">
        <v>834</v>
      </c>
      <c r="G20" s="90" t="s">
        <v>870</v>
      </c>
    </row>
    <row r="21" spans="1:7" ht="25.5" customHeight="1" x14ac:dyDescent="0.25">
      <c r="A21" s="62">
        <v>16</v>
      </c>
      <c r="B21" s="89" t="s">
        <v>871</v>
      </c>
      <c r="C21" s="90" t="s">
        <v>872</v>
      </c>
      <c r="D21" s="89" t="s">
        <v>873</v>
      </c>
      <c r="E21" s="89" t="s">
        <v>823</v>
      </c>
      <c r="F21" s="89" t="s">
        <v>834</v>
      </c>
      <c r="G21" s="90" t="s">
        <v>874</v>
      </c>
    </row>
    <row r="22" spans="1:7" ht="25.5" customHeight="1" x14ac:dyDescent="0.25">
      <c r="A22" s="62">
        <v>17</v>
      </c>
      <c r="B22" s="89" t="s">
        <v>875</v>
      </c>
      <c r="C22" s="90" t="s">
        <v>876</v>
      </c>
      <c r="D22" s="89" t="s">
        <v>877</v>
      </c>
      <c r="E22" s="89" t="s">
        <v>823</v>
      </c>
      <c r="F22" s="89" t="s">
        <v>834</v>
      </c>
      <c r="G22" s="90" t="s">
        <v>878</v>
      </c>
    </row>
    <row r="23" spans="1:7" ht="25.5" customHeight="1" x14ac:dyDescent="0.25">
      <c r="A23" s="62">
        <v>18</v>
      </c>
      <c r="B23" s="89" t="s">
        <v>879</v>
      </c>
      <c r="C23" s="90" t="s">
        <v>880</v>
      </c>
      <c r="D23" s="89" t="s">
        <v>881</v>
      </c>
      <c r="E23" s="89" t="s">
        <v>823</v>
      </c>
      <c r="F23" s="89" t="s">
        <v>834</v>
      </c>
      <c r="G23" s="90" t="s">
        <v>882</v>
      </c>
    </row>
    <row r="24" spans="1:7" ht="25.5" customHeight="1" x14ac:dyDescent="0.25">
      <c r="A24" s="62">
        <v>19</v>
      </c>
      <c r="B24" s="89" t="s">
        <v>883</v>
      </c>
      <c r="C24" s="90" t="s">
        <v>884</v>
      </c>
      <c r="D24" s="89" t="s">
        <v>823</v>
      </c>
      <c r="E24" s="89" t="s">
        <v>823</v>
      </c>
      <c r="F24" s="89" t="s">
        <v>375</v>
      </c>
      <c r="G24" s="90" t="s">
        <v>885</v>
      </c>
    </row>
    <row r="26" spans="1:7" ht="33.75" customHeight="1" x14ac:dyDescent="0.2">
      <c r="A26" s="91">
        <v>20</v>
      </c>
      <c r="B26" s="90" t="s">
        <v>630</v>
      </c>
      <c r="C26" s="90" t="s">
        <v>886</v>
      </c>
      <c r="D26" s="92" t="s">
        <v>822</v>
      </c>
      <c r="E26" s="92" t="s">
        <v>823</v>
      </c>
      <c r="F26" s="92" t="s">
        <v>824</v>
      </c>
      <c r="G26" s="90" t="s">
        <v>223</v>
      </c>
    </row>
    <row r="27" spans="1:7" ht="33.75" customHeight="1" x14ac:dyDescent="0.2">
      <c r="A27" s="92">
        <v>21</v>
      </c>
      <c r="B27" s="90" t="s">
        <v>630</v>
      </c>
      <c r="C27" s="90" t="s">
        <v>887</v>
      </c>
      <c r="D27" s="92" t="s">
        <v>822</v>
      </c>
      <c r="E27" s="92" t="s">
        <v>823</v>
      </c>
      <c r="F27" s="92" t="s">
        <v>824</v>
      </c>
      <c r="G27" s="90" t="s">
        <v>888</v>
      </c>
    </row>
    <row r="28" spans="1:7" ht="33.75" customHeight="1" x14ac:dyDescent="0.2">
      <c r="A28" s="92">
        <v>22</v>
      </c>
      <c r="B28" s="90" t="s">
        <v>630</v>
      </c>
      <c r="C28" s="90" t="s">
        <v>889</v>
      </c>
      <c r="D28" s="92" t="s">
        <v>838</v>
      </c>
      <c r="E28" s="92" t="s">
        <v>823</v>
      </c>
      <c r="F28" s="92" t="s">
        <v>824</v>
      </c>
      <c r="G28" s="90" t="s">
        <v>225</v>
      </c>
    </row>
    <row r="29" spans="1:7" ht="33.75" customHeight="1" x14ac:dyDescent="0.2">
      <c r="A29" s="92">
        <v>23</v>
      </c>
      <c r="B29" s="90" t="s">
        <v>630</v>
      </c>
      <c r="C29" s="90" t="s">
        <v>890</v>
      </c>
      <c r="D29" s="92" t="s">
        <v>838</v>
      </c>
      <c r="E29" s="92" t="s">
        <v>823</v>
      </c>
      <c r="F29" s="92" t="s">
        <v>824</v>
      </c>
      <c r="G29" s="90" t="s">
        <v>891</v>
      </c>
    </row>
    <row r="30" spans="1:7" ht="33.75" customHeight="1" x14ac:dyDescent="0.2">
      <c r="A30" s="92">
        <v>24</v>
      </c>
      <c r="B30" s="90" t="s">
        <v>630</v>
      </c>
      <c r="C30" s="90" t="s">
        <v>892</v>
      </c>
      <c r="D30" s="92" t="s">
        <v>893</v>
      </c>
      <c r="E30" s="92" t="s">
        <v>823</v>
      </c>
      <c r="F30" s="92" t="s">
        <v>824</v>
      </c>
      <c r="G30" s="90" t="s">
        <v>894</v>
      </c>
    </row>
    <row r="31" spans="1:7" ht="33.75" customHeight="1" x14ac:dyDescent="0.2">
      <c r="A31" s="92">
        <v>25</v>
      </c>
      <c r="B31" s="90" t="s">
        <v>434</v>
      </c>
      <c r="C31" s="90" t="s">
        <v>895</v>
      </c>
      <c r="D31" s="92" t="s">
        <v>896</v>
      </c>
      <c r="E31" s="92" t="s">
        <v>823</v>
      </c>
      <c r="F31" s="92" t="s">
        <v>824</v>
      </c>
      <c r="G31" s="90" t="s">
        <v>897</v>
      </c>
    </row>
    <row r="32" spans="1:7" ht="33.75" customHeight="1" x14ac:dyDescent="0.2">
      <c r="A32" s="92">
        <v>26</v>
      </c>
      <c r="B32" s="90" t="s">
        <v>430</v>
      </c>
      <c r="C32" s="90" t="s">
        <v>898</v>
      </c>
      <c r="D32" s="92" t="s">
        <v>899</v>
      </c>
      <c r="E32" s="92" t="s">
        <v>823</v>
      </c>
      <c r="F32" s="92" t="s">
        <v>824</v>
      </c>
      <c r="G32" s="90" t="s">
        <v>900</v>
      </c>
    </row>
    <row r="33" spans="1:7" ht="33.75" customHeight="1" x14ac:dyDescent="0.2">
      <c r="A33" s="92">
        <v>27</v>
      </c>
      <c r="B33" s="90" t="s">
        <v>840</v>
      </c>
      <c r="C33" s="90" t="s">
        <v>901</v>
      </c>
      <c r="D33" s="92" t="s">
        <v>902</v>
      </c>
      <c r="E33" s="92" t="s">
        <v>823</v>
      </c>
      <c r="F33" s="92" t="s">
        <v>843</v>
      </c>
      <c r="G33" s="90" t="s">
        <v>903</v>
      </c>
    </row>
    <row r="34" spans="1:7" ht="33.75" customHeight="1" x14ac:dyDescent="0.2">
      <c r="A34" s="92">
        <v>28</v>
      </c>
      <c r="B34" s="90" t="s">
        <v>840</v>
      </c>
      <c r="C34" s="90" t="s">
        <v>904</v>
      </c>
      <c r="D34" s="92" t="s">
        <v>849</v>
      </c>
      <c r="E34" s="92" t="s">
        <v>823</v>
      </c>
      <c r="F34" s="92" t="s">
        <v>843</v>
      </c>
      <c r="G34" s="90" t="s">
        <v>905</v>
      </c>
    </row>
    <row r="35" spans="1:7" ht="33.75" customHeight="1" x14ac:dyDescent="0.2">
      <c r="A35" s="92">
        <v>29</v>
      </c>
      <c r="B35" s="90" t="s">
        <v>840</v>
      </c>
      <c r="C35" s="90" t="s">
        <v>906</v>
      </c>
      <c r="D35" s="92" t="s">
        <v>907</v>
      </c>
      <c r="E35" s="92" t="s">
        <v>823</v>
      </c>
      <c r="F35" s="92" t="s">
        <v>843</v>
      </c>
      <c r="G35" s="90" t="s">
        <v>908</v>
      </c>
    </row>
    <row r="36" spans="1:7" ht="33.75" customHeight="1" x14ac:dyDescent="0.2">
      <c r="A36" s="92">
        <v>30</v>
      </c>
      <c r="B36" s="90" t="s">
        <v>909</v>
      </c>
      <c r="C36" s="90" t="s">
        <v>910</v>
      </c>
      <c r="D36" s="92" t="s">
        <v>881</v>
      </c>
      <c r="E36" s="92" t="s">
        <v>823</v>
      </c>
      <c r="F36" s="92" t="s">
        <v>843</v>
      </c>
      <c r="G36" s="90" t="s">
        <v>911</v>
      </c>
    </row>
    <row r="38" spans="1:7" ht="30" customHeight="1" x14ac:dyDescent="0.25">
      <c r="A38" s="110" t="s">
        <v>912</v>
      </c>
      <c r="B38" s="110"/>
      <c r="C38" s="110"/>
      <c r="D38" s="110"/>
      <c r="E38" s="110"/>
      <c r="F38" s="110"/>
      <c r="G38" s="110"/>
    </row>
  </sheetData>
  <mergeCells count="1">
    <mergeCell ref="A38:G38"/>
  </mergeCells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70AD47"/>
  </sheetPr>
  <dimension ref="A1:N30"/>
  <sheetViews>
    <sheetView showGridLines="0" zoomScaleNormal="100" workbookViewId="0"/>
  </sheetViews>
  <sheetFormatPr defaultColWidth="8.7109375" defaultRowHeight="15" x14ac:dyDescent="0.25"/>
  <cols>
    <col min="1" max="1" width="62" style="1" customWidth="1"/>
    <col min="2" max="2" width="12" style="1" customWidth="1"/>
    <col min="3" max="3" width="75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913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914</v>
      </c>
    </row>
    <row r="3" spans="1:14" ht="15" customHeight="1" x14ac:dyDescent="0.25">
      <c r="A3" s="15" t="s">
        <v>16</v>
      </c>
    </row>
    <row r="5" spans="1:14" ht="15" customHeight="1" x14ac:dyDescent="0.25">
      <c r="A5" s="86" t="s">
        <v>915</v>
      </c>
      <c r="B5" s="86" t="s">
        <v>916</v>
      </c>
      <c r="C5" s="86" t="s">
        <v>917</v>
      </c>
    </row>
    <row r="6" spans="1:14" ht="15" customHeight="1" x14ac:dyDescent="0.25">
      <c r="A6" s="20" t="s">
        <v>918</v>
      </c>
      <c r="B6" s="93" t="str">
        <f>IF(ABS('Historical Financials'!E47-('Historical Financials'!E54+'Historical Financials'!E57))&lt;1,"OK","CHECK")</f>
        <v>OK</v>
      </c>
      <c r="C6" s="35" t="s">
        <v>919</v>
      </c>
    </row>
    <row r="7" spans="1:14" ht="15" customHeight="1" x14ac:dyDescent="0.25">
      <c r="A7" s="20" t="s">
        <v>920</v>
      </c>
      <c r="B7" s="93" t="str">
        <f>IF(ABS('Historical Financials'!D47-('Historical Financials'!D54+'Historical Financials'!D57))&lt;1,"OK","CHECK")</f>
        <v>OK</v>
      </c>
      <c r="C7" s="35"/>
    </row>
    <row r="8" spans="1:14" ht="15" customHeight="1" x14ac:dyDescent="0.25">
      <c r="A8" s="20" t="s">
        <v>921</v>
      </c>
      <c r="B8" s="93" t="str">
        <f>IF(ABS('Historical Financials'!C47-('Historical Financials'!C54+'Historical Financials'!C57))&lt;1.5,"OK","CHECK")</f>
        <v>OK</v>
      </c>
      <c r="C8" s="35" t="s">
        <v>922</v>
      </c>
    </row>
    <row r="9" spans="1:14" ht="15" customHeight="1" x14ac:dyDescent="0.25">
      <c r="A9" s="20" t="s">
        <v>923</v>
      </c>
      <c r="B9" s="93" t="str">
        <f>IF(ABS('Historical Financials'!E7-2337.6)&lt;0.5,"OK","CHECK")</f>
        <v>OK</v>
      </c>
      <c r="C9" s="35" t="s">
        <v>924</v>
      </c>
    </row>
    <row r="10" spans="1:14" ht="15" customHeight="1" x14ac:dyDescent="0.25">
      <c r="A10" s="20" t="s">
        <v>925</v>
      </c>
      <c r="B10" s="93" t="str">
        <f>IF(ABS('Historical Financials'!E17-870.4)&lt;0.5,"OK","CHECK")</f>
        <v>OK</v>
      </c>
      <c r="C10" s="35"/>
    </row>
    <row r="11" spans="1:14" ht="15" customHeight="1" x14ac:dyDescent="0.25">
      <c r="A11" s="20" t="s">
        <v>926</v>
      </c>
      <c r="B11" s="93" t="str">
        <f>IF(ABS('Historical Financials'!E21-1183.2)&lt;1,"OK","CHECK")</f>
        <v>OK</v>
      </c>
      <c r="C11" s="35" t="s">
        <v>927</v>
      </c>
    </row>
    <row r="12" spans="1:14" ht="15" customHeight="1" x14ac:dyDescent="0.25">
      <c r="A12" s="20" t="s">
        <v>928</v>
      </c>
      <c r="B12" s="93" t="str">
        <f>IF(ABS('Historical Financials'!E72-395)&lt;1,"OK","CHECK")</f>
        <v>OK</v>
      </c>
      <c r="C12" s="35"/>
    </row>
    <row r="13" spans="1:14" ht="15" customHeight="1" x14ac:dyDescent="0.25">
      <c r="A13" s="20" t="s">
        <v>929</v>
      </c>
      <c r="B13" s="93" t="str">
        <f>IF(ABS(Assumptions!F88-1)&lt;0.0001,"OK","CHECK")</f>
        <v>OK</v>
      </c>
      <c r="C13" s="35"/>
    </row>
    <row r="14" spans="1:14" ht="15" customHeight="1" x14ac:dyDescent="0.25">
      <c r="A14" s="20" t="s">
        <v>930</v>
      </c>
      <c r="B14" s="93" t="str">
        <f>IF(ABS('Probability Distribution'!C13-1)&lt;0.0001,"OK","CHECK")</f>
        <v>OK</v>
      </c>
      <c r="C14" s="35"/>
    </row>
    <row r="15" spans="1:14" ht="15" customHeight="1" x14ac:dyDescent="0.25">
      <c r="A15" s="20" t="s">
        <v>931</v>
      </c>
      <c r="B15" s="93" t="str">
        <f>IF(ABS('DCF Valuation'!C36-('DCF Valuation'!C31-Total_Adj))&lt;0.5,"OK","CHECK")</f>
        <v>OK</v>
      </c>
      <c r="C15" s="35" t="s">
        <v>932</v>
      </c>
    </row>
    <row r="16" spans="1:14" ht="15" customHeight="1" x14ac:dyDescent="0.25">
      <c r="A16" s="20" t="s">
        <v>933</v>
      </c>
      <c r="B16" s="93" t="str">
        <f>IF(ABS(Diluted_Shares-554.091)&lt;0.5,"OK","CHECK")</f>
        <v>OK</v>
      </c>
      <c r="C16" s="35"/>
    </row>
    <row r="17" spans="1:3" ht="15" customHeight="1" x14ac:dyDescent="0.25">
      <c r="A17" s="20" t="s">
        <v>934</v>
      </c>
      <c r="B17" s="93" t="str">
        <f>IF(AND(Assumptions!C86&lt;Assumptions!C85,Assumptions!D86&lt;Assumptions!D85,Assumptions!E86&lt;Assumptions!E85),"OK","CHECK")</f>
        <v>OK</v>
      </c>
      <c r="C17" s="35"/>
    </row>
    <row r="18" spans="1:3" ht="15" customHeight="1" x14ac:dyDescent="0.25">
      <c r="A18" s="20" t="s">
        <v>935</v>
      </c>
      <c r="B18" s="93" t="str">
        <f>IF('DCF Valuation'!C39&lt;0.75,"OK","CHECK")</f>
        <v>OK</v>
      </c>
      <c r="C18" s="35" t="s">
        <v>936</v>
      </c>
    </row>
    <row r="19" spans="1:3" ht="15" customHeight="1" x14ac:dyDescent="0.25">
      <c r="A19" s="20" t="s">
        <v>937</v>
      </c>
      <c r="B19" s="93" t="str">
        <f>IF(ABS('Cash Flow Model'!K10/'Cash Flow Model'!K12-1)&lt;0.25,"OK","CHECK")</f>
        <v>OK</v>
      </c>
      <c r="C19" s="35" t="s">
        <v>938</v>
      </c>
    </row>
    <row r="20" spans="1:3" ht="15" customHeight="1" x14ac:dyDescent="0.25">
      <c r="A20" s="20" t="s">
        <v>939</v>
      </c>
      <c r="B20" s="93" t="str">
        <f>IF(ABS('Cash Flow Model'!K32-('Cash Flow Model'!K24-'Cash Flow Model'!K31))&lt;0.5,"OK","CHECK")</f>
        <v>OK</v>
      </c>
      <c r="C20" s="35"/>
    </row>
    <row r="21" spans="1:3" ht="15" customHeight="1" x14ac:dyDescent="0.25">
      <c r="A21" s="20" t="s">
        <v>940</v>
      </c>
      <c r="B21" s="93" t="str">
        <f>IF(ABS('Cash Flow Model'!E30-470.7)&lt;0.5,"OK","CHECK")</f>
        <v>OK</v>
      </c>
      <c r="C21" s="35"/>
    </row>
    <row r="22" spans="1:3" ht="15" customHeight="1" x14ac:dyDescent="0.25">
      <c r="A22" s="20" t="s">
        <v>941</v>
      </c>
      <c r="B22" s="93" t="str">
        <f>IF(COUNTIF('Revenue Build'!C21:I21,"OK")=7,"OK","CHECK")</f>
        <v>OK</v>
      </c>
      <c r="C22" s="35"/>
    </row>
    <row r="23" spans="1:3" ht="15" customHeight="1" x14ac:dyDescent="0.25">
      <c r="A23" s="20" t="s">
        <v>942</v>
      </c>
      <c r="B23" s="93" t="str">
        <f>IF(ABS('Operating Model'!F15-'Operating Model'!F7*Assumptions!C71)&lt;0.5,"OK","CHECK")</f>
        <v>OK</v>
      </c>
      <c r="C23" s="35"/>
    </row>
    <row r="24" spans="1:3" ht="15" customHeight="1" x14ac:dyDescent="0.25">
      <c r="A24" s="20" t="s">
        <v>943</v>
      </c>
      <c r="B24" s="93" t="str">
        <f>IF(Scenario_Selected&lt;&gt;2,"n/a (selector not 2)",IF(ABS('DCF Valuation'!C38-'Scenario Analysis'!K29)&lt;'Scenario Analysis'!K29*0.06,"OK","CHECK"))</f>
        <v>OK</v>
      </c>
      <c r="C24" s="35" t="s">
        <v>944</v>
      </c>
    </row>
    <row r="25" spans="1:3" ht="15" customHeight="1" x14ac:dyDescent="0.25">
      <c r="A25" s="20" t="s">
        <v>945</v>
      </c>
      <c r="B25" s="93" t="str">
        <f>IF(AND('Multiples Valuation'!G9&gt;'Scenario Analysis'!K14*0.5,'Multiples Valuation'!G9&lt;'Scenario Analysis'!K44*1.5),"OK","CHECK")</f>
        <v>OK</v>
      </c>
      <c r="C25" s="35"/>
    </row>
    <row r="26" spans="1:3" ht="15" customHeight="1" x14ac:dyDescent="0.25">
      <c r="A26" s="20" t="s">
        <v>946</v>
      </c>
      <c r="B26" s="93" t="str">
        <f>IF(Dashboard!B13='Valuation Summary'!C23,"OK","CHECK")</f>
        <v>OK</v>
      </c>
      <c r="C26" s="35"/>
    </row>
    <row r="27" spans="1:3" ht="15" customHeight="1" x14ac:dyDescent="0.25">
      <c r="A27" s="20" t="s">
        <v>947</v>
      </c>
      <c r="B27" s="93" t="str">
        <f>IF(ABS('Comparable Companies'!F11-Assumptions!B16)&lt;1,"OK","CHECK")</f>
        <v>OK</v>
      </c>
      <c r="C27" s="35"/>
    </row>
    <row r="28" spans="1:3" ht="15" customHeight="1" x14ac:dyDescent="0.25">
      <c r="A28" s="20" t="s">
        <v>948</v>
      </c>
      <c r="B28" s="93" t="str">
        <f>IF(AND('Scenario Analysis'!I17&gt;0,'Scenario Analysis'!I32&gt;0,'Scenario Analysis'!I47&gt;0),"OK","CHECK")</f>
        <v>OK</v>
      </c>
      <c r="C28" s="35"/>
    </row>
    <row r="30" spans="1:3" ht="15" customHeight="1" x14ac:dyDescent="0.25">
      <c r="A30" s="35" t="s">
        <v>949</v>
      </c>
    </row>
  </sheetData>
  <phoneticPr fontId="30"/>
  <conditionalFormatting sqref="B6:B28">
    <cfRule type="cellIs" dxfId="1" priority="2" operator="equal">
      <formula>"OK"</formula>
    </cfRule>
    <cfRule type="cellIs" dxfId="0" priority="3" operator="equal">
      <formula>"CHECK"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showGridLines="0" zoomScaleNormal="100" workbookViewId="0">
      <selection activeCell="A13" sqref="A13"/>
    </sheetView>
  </sheetViews>
  <sheetFormatPr defaultColWidth="8.7109375" defaultRowHeight="15" x14ac:dyDescent="0.25"/>
  <cols>
    <col min="1" max="1" width="44" style="1" customWidth="1"/>
    <col min="2" max="2" width="16" style="1" customWidth="1"/>
    <col min="3" max="4" width="14" style="1" customWidth="1"/>
    <col min="5" max="5" width="16" style="1" customWidth="1"/>
    <col min="6" max="6" width="3" style="1" customWidth="1"/>
    <col min="7" max="8" width="14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14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15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A6" s="18" t="s">
        <v>18</v>
      </c>
      <c r="B6" s="19">
        <f>Share_Price</f>
        <v>81200</v>
      </c>
    </row>
    <row r="7" spans="1:14" ht="15" customHeight="1" x14ac:dyDescent="0.25">
      <c r="A7" s="20" t="s">
        <v>19</v>
      </c>
      <c r="B7" s="19">
        <f>'DCF Valuation'!C38</f>
        <v>74221.097530735628</v>
      </c>
    </row>
    <row r="8" spans="1:14" ht="15" customHeight="1" x14ac:dyDescent="0.25">
      <c r="A8" s="20" t="s">
        <v>20</v>
      </c>
      <c r="B8" s="19">
        <f>'Multiples Valuation'!G9</f>
        <v>65382.843135157818</v>
      </c>
    </row>
    <row r="9" spans="1:14" ht="15" customHeight="1" x14ac:dyDescent="0.25">
      <c r="A9" s="20" t="s">
        <v>21</v>
      </c>
      <c r="B9" s="19">
        <f>'Scenario Analysis'!C56</f>
        <v>78068.37085346457</v>
      </c>
    </row>
    <row r="10" spans="1:14" ht="15" customHeight="1" x14ac:dyDescent="0.25">
      <c r="A10" s="20" t="s">
        <v>22</v>
      </c>
      <c r="B10" s="21">
        <f>'Scenario Analysis'!K14</f>
        <v>23057.383132783474</v>
      </c>
    </row>
    <row r="11" spans="1:14" ht="15" customHeight="1" x14ac:dyDescent="0.25">
      <c r="A11" s="20" t="s">
        <v>23</v>
      </c>
      <c r="B11" s="19">
        <f>'Scenario Analysis'!K29</f>
        <v>74221.097530735628</v>
      </c>
    </row>
    <row r="12" spans="1:14" ht="15" customHeight="1" x14ac:dyDescent="0.25">
      <c r="A12" s="20" t="s">
        <v>24</v>
      </c>
      <c r="B12" s="22">
        <f>'Scenario Analysis'!K44</f>
        <v>140773.90521960356</v>
      </c>
    </row>
    <row r="13" spans="1:14" ht="15" customHeight="1" x14ac:dyDescent="0.25">
      <c r="A13" s="18" t="s">
        <v>6</v>
      </c>
      <c r="B13" s="23">
        <f>'Valuation Summary'!C23</f>
        <v>81133.780606421104</v>
      </c>
    </row>
    <row r="14" spans="1:14" ht="15" customHeight="1" x14ac:dyDescent="0.25">
      <c r="A14" s="20" t="s">
        <v>25</v>
      </c>
      <c r="B14" s="24">
        <f>'Valuation Summary'!C27</f>
        <v>-8.1550977313915585E-4</v>
      </c>
    </row>
    <row r="15" spans="1:14" ht="15" customHeight="1" x14ac:dyDescent="0.25">
      <c r="A15" s="20" t="s">
        <v>26</v>
      </c>
      <c r="B15" s="19">
        <f>'Probability Distribution'!C14</f>
        <v>76800</v>
      </c>
    </row>
    <row r="16" spans="1:14" ht="15" customHeight="1" x14ac:dyDescent="0.25">
      <c r="A16" s="20" t="s">
        <v>27</v>
      </c>
      <c r="B16" s="19">
        <f>'Probability Distribution'!B28</f>
        <v>35000</v>
      </c>
      <c r="C16" s="19">
        <f>'Probability Distribution'!C28</f>
        <v>110000</v>
      </c>
    </row>
    <row r="17" spans="1:12" ht="15" customHeight="1" x14ac:dyDescent="0.25">
      <c r="A17" s="20" t="s">
        <v>28</v>
      </c>
      <c r="B17" s="19">
        <f>'Probability Distribution'!B29</f>
        <v>30000</v>
      </c>
      <c r="C17" s="19">
        <f>'Probability Distribution'!C29</f>
        <v>120000</v>
      </c>
    </row>
    <row r="19" spans="1:12" ht="15" customHeight="1" x14ac:dyDescent="0.25">
      <c r="A19" s="16" t="s">
        <v>29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5" customHeight="1" x14ac:dyDescent="0.25">
      <c r="B20" s="25" t="s">
        <v>30</v>
      </c>
      <c r="C20" s="25" t="s">
        <v>31</v>
      </c>
      <c r="D20" s="25" t="s">
        <v>32</v>
      </c>
      <c r="E20" s="25" t="s">
        <v>33</v>
      </c>
    </row>
    <row r="21" spans="1:12" ht="15" customHeight="1" x14ac:dyDescent="0.25">
      <c r="A21" s="20" t="s">
        <v>34</v>
      </c>
      <c r="B21" s="26">
        <f>'Operating Model'!E7</f>
        <v>2337.6</v>
      </c>
      <c r="C21" s="27">
        <f>'Operating Model'!F7</f>
        <v>9272.9502627840011</v>
      </c>
      <c r="D21" s="27">
        <f>'Operating Model'!G7</f>
        <v>12234.359658706702</v>
      </c>
      <c r="E21" s="27">
        <f>AVERAGE('Operating Model'!J7:L7)</f>
        <v>13340.33282900184</v>
      </c>
    </row>
    <row r="22" spans="1:12" ht="15" customHeight="1" x14ac:dyDescent="0.25">
      <c r="A22" s="20" t="s">
        <v>35</v>
      </c>
      <c r="B22" s="26">
        <f>'Operating Model'!E15</f>
        <v>1183.2</v>
      </c>
      <c r="C22" s="27">
        <f>'Operating Model'!F15</f>
        <v>7501.816762592257</v>
      </c>
      <c r="D22" s="27">
        <f>'Operating Model'!G15</f>
        <v>8319.3645679205583</v>
      </c>
      <c r="E22" s="27">
        <f>AVERAGE('Operating Model'!J15:L15)</f>
        <v>5293.3778479432467</v>
      </c>
    </row>
    <row r="23" spans="1:12" ht="15" customHeight="1" x14ac:dyDescent="0.25">
      <c r="A23" s="20" t="s">
        <v>36</v>
      </c>
      <c r="B23" s="28">
        <f>'Operating Model'!E16</f>
        <v>0.50616016427104726</v>
      </c>
      <c r="C23" s="24">
        <f>'Operating Model'!F16</f>
        <v>0.80900000000000005</v>
      </c>
      <c r="D23" s="24">
        <f>'Operating Model'!G16</f>
        <v>0.68</v>
      </c>
      <c r="E23" s="24">
        <f>AVERAGE('Operating Model'!J16:L16)</f>
        <v>0.39666666666666667</v>
      </c>
    </row>
    <row r="24" spans="1:12" ht="15" customHeight="1" x14ac:dyDescent="0.25">
      <c r="A24" s="20" t="s">
        <v>37</v>
      </c>
      <c r="B24" s="26">
        <f>'Operating Model'!E13</f>
        <v>870.4</v>
      </c>
      <c r="C24" s="27">
        <f>'Operating Model'!F13</f>
        <v>7182.1147625922567</v>
      </c>
      <c r="D24" s="27">
        <f>'Operating Model'!G13</f>
        <v>7968.5970079205581</v>
      </c>
      <c r="E24" s="27">
        <f>AVERAGE('Operating Model'!J13:L13)</f>
        <v>4843.2532307869988</v>
      </c>
    </row>
    <row r="25" spans="1:12" ht="15" customHeight="1" x14ac:dyDescent="0.25">
      <c r="A25" s="20" t="s">
        <v>38</v>
      </c>
      <c r="B25" s="29">
        <f>'Operating Model'!E26</f>
        <v>1024.07</v>
      </c>
      <c r="C25" s="30">
        <f>'Operating Model'!F26</f>
        <v>9702.4636198662301</v>
      </c>
      <c r="D25" s="30">
        <f>'Operating Model'!G26</f>
        <v>10639.631237171447</v>
      </c>
      <c r="E25" s="30">
        <f>AVERAGE('Operating Model'!J26:L26)</f>
        <v>6382.1650768681839</v>
      </c>
    </row>
    <row r="26" spans="1:12" ht="15" customHeight="1" x14ac:dyDescent="0.25">
      <c r="A26" s="20" t="s">
        <v>39</v>
      </c>
      <c r="B26" s="26">
        <f>'Cash Flow Model'!D17</f>
        <v>310.22965183012383</v>
      </c>
      <c r="C26" s="27">
        <f>'Cash Flow Model'!E17</f>
        <v>4605.0128927841897</v>
      </c>
      <c r="D26" s="27">
        <f>'Cash Flow Model'!F17</f>
        <v>5448.646046564817</v>
      </c>
      <c r="E26" s="27">
        <f>AVERAGE('Cash Flow Model'!I17:K17)</f>
        <v>3378.8474636259539</v>
      </c>
    </row>
    <row r="27" spans="1:12" ht="15" customHeight="1" x14ac:dyDescent="0.25">
      <c r="A27" s="20" t="s">
        <v>40</v>
      </c>
      <c r="B27" s="26">
        <f>'Cash Flow Model'!D12</f>
        <v>283.7</v>
      </c>
      <c r="C27" s="27">
        <f>'Cash Flow Model'!E12</f>
        <v>450</v>
      </c>
      <c r="D27" s="27">
        <f>'Cash Flow Model'!F12</f>
        <v>480</v>
      </c>
      <c r="E27" s="27">
        <f>AVERAGE('Cash Flow Model'!I12:K12)</f>
        <v>550</v>
      </c>
    </row>
    <row r="28" spans="1:12" ht="15" customHeight="1" x14ac:dyDescent="0.25">
      <c r="A28" s="20" t="s">
        <v>41</v>
      </c>
      <c r="B28" s="26">
        <f>'Cash Flow Model'!D32</f>
        <v>576.89999999999986</v>
      </c>
      <c r="C28" s="27">
        <f>'Cash Flow Model'!E32</f>
        <v>-4003.58751678419</v>
      </c>
      <c r="D28" s="27">
        <f>'Cash Flow Model'!F32</f>
        <v>-9437.2814113490076</v>
      </c>
      <c r="E28" s="27">
        <f>AVERAGE('Cash Flow Model'!I32:K32)</f>
        <v>-22984.924874772816</v>
      </c>
    </row>
    <row r="29" spans="1:12" ht="15" customHeight="1" x14ac:dyDescent="0.25">
      <c r="A29" s="20" t="s">
        <v>42</v>
      </c>
      <c r="B29" s="31">
        <f>'Cash Flow Model'!D33</f>
        <v>0.48757606490872196</v>
      </c>
      <c r="C29" s="32">
        <f>'Cash Flow Model'!E33</f>
        <v>-0.53368239234368453</v>
      </c>
      <c r="D29" s="32">
        <f>'Cash Flow Model'!F33</f>
        <v>-1.1343752680029353</v>
      </c>
      <c r="E29" s="32">
        <f>AVERAGE('Cash Flow Model'!I33:K33)</f>
        <v>-4.3273821747025361</v>
      </c>
    </row>
    <row r="30" spans="1:12" ht="15" customHeight="1" x14ac:dyDescent="0.25">
      <c r="A30" s="20" t="s">
        <v>43</v>
      </c>
      <c r="B30" s="28">
        <f>'Cash Flow Model'!D9/('Historical Financials'!E55+'Historical Financials'!E58)</f>
        <v>0.31153439205897548</v>
      </c>
    </row>
    <row r="31" spans="1:12" ht="15" customHeight="1" x14ac:dyDescent="0.25">
      <c r="A31" s="18" t="s">
        <v>44</v>
      </c>
      <c r="B31" s="32">
        <f>'Multiples Valuation'!D24</f>
        <v>8.4916885983150685</v>
      </c>
      <c r="C31" s="32">
        <f>'Multiples Valuation'!D25</f>
        <v>7.7437176025931818</v>
      </c>
      <c r="D31" s="32">
        <f>'Multiples Valuation'!D27</f>
        <v>12.9094592045267</v>
      </c>
    </row>
    <row r="32" spans="1:12" ht="15" customHeight="1" x14ac:dyDescent="0.25">
      <c r="A32" s="16" t="s">
        <v>45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5" ht="15" customHeight="1" x14ac:dyDescent="0.25">
      <c r="B33" s="25" t="s">
        <v>31</v>
      </c>
      <c r="C33" s="25" t="s">
        <v>32</v>
      </c>
      <c r="D33" s="25" t="s">
        <v>46</v>
      </c>
      <c r="E33" s="25" t="s">
        <v>47</v>
      </c>
    </row>
    <row r="34" spans="1:5" ht="15" customHeight="1" x14ac:dyDescent="0.25">
      <c r="A34" s="20" t="s">
        <v>48</v>
      </c>
      <c r="B34" s="24">
        <f>Assumptions!C67</f>
        <v>0.2</v>
      </c>
      <c r="C34" s="24">
        <f>Assumptions!D67</f>
        <v>0.24</v>
      </c>
      <c r="D34" s="24">
        <f>Assumptions!E67</f>
        <v>0.24</v>
      </c>
      <c r="E34" s="24">
        <f>Assumptions!G67</f>
        <v>0.19</v>
      </c>
    </row>
    <row r="35" spans="1:5" ht="15" customHeight="1" x14ac:dyDescent="0.25">
      <c r="A35" s="20" t="s">
        <v>49</v>
      </c>
      <c r="B35" s="24">
        <f>Assumptions!C68</f>
        <v>2.0859999999999999</v>
      </c>
      <c r="C35" s="24">
        <f>Assumptions!D68</f>
        <v>0.05</v>
      </c>
      <c r="D35" s="24">
        <f>Assumptions!E68</f>
        <v>-0.2</v>
      </c>
      <c r="E35" s="24">
        <f>Assumptions!G68</f>
        <v>-0.14000000000000001</v>
      </c>
    </row>
    <row r="36" spans="1:5" ht="15" customHeight="1" x14ac:dyDescent="0.25">
      <c r="A36" s="20" t="s">
        <v>36</v>
      </c>
      <c r="B36" s="24">
        <f>Assumptions!C71</f>
        <v>0.80900000000000005</v>
      </c>
      <c r="C36" s="24">
        <f>Assumptions!D71</f>
        <v>0.68</v>
      </c>
      <c r="D36" s="24">
        <f>Assumptions!E71</f>
        <v>0.46</v>
      </c>
      <c r="E36" s="24">
        <f>Assumptions!G71</f>
        <v>0.39</v>
      </c>
    </row>
    <row r="37" spans="1:5" ht="15" customHeight="1" x14ac:dyDescent="0.25">
      <c r="A37" s="20" t="s">
        <v>40</v>
      </c>
      <c r="B37" s="33">
        <f>Assumptions!C72</f>
        <v>450</v>
      </c>
      <c r="C37" s="33">
        <f>Assumptions!D72</f>
        <v>480</v>
      </c>
      <c r="D37" s="33">
        <f>Assumptions!E72</f>
        <v>480</v>
      </c>
      <c r="E37" s="33">
        <f>Assumptions!G72</f>
        <v>525</v>
      </c>
    </row>
    <row r="38" spans="1:5" ht="15" customHeight="1" x14ac:dyDescent="0.25">
      <c r="A38" s="20" t="s">
        <v>50</v>
      </c>
      <c r="B38" s="24">
        <f>Assumptions!C74</f>
        <v>0.12</v>
      </c>
      <c r="C38" s="24">
        <f>Assumptions!D74</f>
        <v>0.115</v>
      </c>
      <c r="D38" s="24">
        <f>Assumptions!E74</f>
        <v>0.11</v>
      </c>
      <c r="E38" s="24">
        <f>Assumptions!G74</f>
        <v>0.105</v>
      </c>
    </row>
    <row r="39" spans="1:5" ht="15" customHeight="1" x14ac:dyDescent="0.25">
      <c r="A39" s="20" t="s">
        <v>51</v>
      </c>
      <c r="B39" s="24">
        <f>Assumptions!C104</f>
        <v>0.21</v>
      </c>
      <c r="C39" s="24">
        <f>Assumptions!D104</f>
        <v>0.23</v>
      </c>
      <c r="D39" s="24">
        <f>Assumptions!E104</f>
        <v>0.22</v>
      </c>
      <c r="E39" s="24">
        <f>Assumptions!G104</f>
        <v>0.18</v>
      </c>
    </row>
    <row r="40" spans="1:5" ht="15" customHeight="1" x14ac:dyDescent="0.25">
      <c r="A40" s="20" t="s">
        <v>52</v>
      </c>
      <c r="B40" s="33">
        <f>USDJPY_Base</f>
        <v>159</v>
      </c>
      <c r="C40" s="24">
        <f>WACC_Active</f>
        <v>9.2987229722155201E-2</v>
      </c>
      <c r="D40" s="32">
        <f>Exit_Mult_Active</f>
        <v>6</v>
      </c>
      <c r="E40" s="24">
        <f>'Revenue Build'!C29</f>
        <v>0.16271186440677965</v>
      </c>
    </row>
  </sheetData>
  <phoneticPr fontId="3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472C4"/>
  </sheetPr>
  <dimension ref="A1:N200"/>
  <sheetViews>
    <sheetView showGridLines="0" zoomScaleNormal="100" workbookViewId="0">
      <selection activeCell="F30" sqref="F30"/>
    </sheetView>
  </sheetViews>
  <sheetFormatPr defaultColWidth="8.7109375" defaultRowHeight="15" x14ac:dyDescent="0.25"/>
  <cols>
    <col min="1" max="1" width="42" style="1" customWidth="1"/>
    <col min="2" max="2" width="13" style="1" customWidth="1"/>
    <col min="3" max="9" width="11" style="1" customWidth="1"/>
    <col min="10" max="10" width="38" style="1" customWidth="1"/>
    <col min="11" max="11" width="42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53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54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55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A6" s="18" t="s">
        <v>56</v>
      </c>
      <c r="B6" s="34">
        <v>2</v>
      </c>
      <c r="C6" s="35" t="s">
        <v>57</v>
      </c>
    </row>
    <row r="8" spans="1:14" ht="15" customHeight="1" x14ac:dyDescent="0.25">
      <c r="A8" s="16" t="s">
        <v>58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4" ht="15" customHeight="1" x14ac:dyDescent="0.25">
      <c r="A9" s="20" t="s">
        <v>59</v>
      </c>
      <c r="B9" s="36" t="s">
        <v>60</v>
      </c>
      <c r="C9" s="35" t="s">
        <v>61</v>
      </c>
    </row>
    <row r="10" spans="1:14" ht="15" customHeight="1" x14ac:dyDescent="0.25">
      <c r="A10" s="20" t="s">
        <v>62</v>
      </c>
      <c r="B10" s="36" t="s">
        <v>63</v>
      </c>
      <c r="C10" s="35" t="s">
        <v>64</v>
      </c>
    </row>
    <row r="11" spans="1:14" ht="15" customHeight="1" x14ac:dyDescent="0.25">
      <c r="A11" s="20" t="s">
        <v>65</v>
      </c>
      <c r="B11" s="37">
        <v>81200</v>
      </c>
      <c r="C11" s="35" t="s">
        <v>66</v>
      </c>
    </row>
    <row r="12" spans="1:14" ht="15" customHeight="1" x14ac:dyDescent="0.25">
      <c r="A12" s="20" t="s">
        <v>67</v>
      </c>
      <c r="B12" s="38">
        <v>546.08600000000001</v>
      </c>
      <c r="C12" s="35" t="s">
        <v>68</v>
      </c>
    </row>
    <row r="13" spans="1:14" ht="15" customHeight="1" x14ac:dyDescent="0.25">
      <c r="A13" s="20" t="s">
        <v>69</v>
      </c>
      <c r="B13" s="38">
        <v>1.6100000000000001E-4</v>
      </c>
      <c r="C13" s="35" t="s">
        <v>70</v>
      </c>
    </row>
    <row r="14" spans="1:14" ht="15" customHeight="1" x14ac:dyDescent="0.25">
      <c r="A14" s="20" t="s">
        <v>71</v>
      </c>
      <c r="B14" s="38">
        <v>8.0050000000000008</v>
      </c>
      <c r="C14" s="35" t="s">
        <v>72</v>
      </c>
    </row>
    <row r="15" spans="1:14" ht="15" customHeight="1" x14ac:dyDescent="0.25">
      <c r="A15" s="20" t="s">
        <v>73</v>
      </c>
      <c r="B15" s="39">
        <f>B12+B14</f>
        <v>554.09100000000001</v>
      </c>
      <c r="C15" s="35" t="s">
        <v>74</v>
      </c>
    </row>
    <row r="16" spans="1:14" ht="15" customHeight="1" x14ac:dyDescent="0.25">
      <c r="A16" s="20" t="s">
        <v>75</v>
      </c>
      <c r="B16" s="27">
        <f>B11*B15/1000</f>
        <v>44992.189200000001</v>
      </c>
      <c r="C16" s="35" t="s">
        <v>76</v>
      </c>
    </row>
    <row r="17" spans="1:12" ht="15" customHeight="1" x14ac:dyDescent="0.25">
      <c r="A17" s="20" t="s">
        <v>77</v>
      </c>
      <c r="B17" s="40">
        <v>470.7</v>
      </c>
      <c r="C17" s="35" t="s">
        <v>78</v>
      </c>
    </row>
    <row r="18" spans="1:12" ht="15" customHeight="1" x14ac:dyDescent="0.25">
      <c r="A18" s="20" t="s">
        <v>79</v>
      </c>
      <c r="B18" s="40">
        <v>1047.5999999999999</v>
      </c>
      <c r="C18" s="35" t="s">
        <v>80</v>
      </c>
    </row>
    <row r="19" spans="1:12" ht="15" customHeight="1" x14ac:dyDescent="0.25">
      <c r="A19" s="20" t="s">
        <v>81</v>
      </c>
      <c r="B19" s="40">
        <v>205.6</v>
      </c>
      <c r="C19" s="35" t="s">
        <v>82</v>
      </c>
    </row>
    <row r="20" spans="1:12" ht="15" customHeight="1" x14ac:dyDescent="0.25">
      <c r="A20" s="20" t="s">
        <v>83</v>
      </c>
      <c r="B20" s="40">
        <v>0.2</v>
      </c>
      <c r="C20" s="35" t="s">
        <v>84</v>
      </c>
    </row>
    <row r="21" spans="1:12" ht="15" customHeight="1" x14ac:dyDescent="0.25">
      <c r="A21" s="20" t="s">
        <v>85</v>
      </c>
      <c r="B21" s="40">
        <v>42.9</v>
      </c>
      <c r="C21" s="35" t="s">
        <v>84</v>
      </c>
    </row>
    <row r="22" spans="1:12" ht="15" customHeight="1" x14ac:dyDescent="0.25">
      <c r="A22" s="20" t="s">
        <v>86</v>
      </c>
      <c r="B22" s="27">
        <f>B18-B17</f>
        <v>576.89999999999986</v>
      </c>
      <c r="C22" s="35" t="s">
        <v>87</v>
      </c>
    </row>
    <row r="23" spans="1:12" ht="15" customHeight="1" x14ac:dyDescent="0.25">
      <c r="A23" s="20" t="s">
        <v>88</v>
      </c>
      <c r="B23" s="27">
        <f>B16+B22+B19+B20+B21</f>
        <v>45817.789199999999</v>
      </c>
      <c r="C23" s="35" t="s">
        <v>89</v>
      </c>
    </row>
    <row r="24" spans="1:12" ht="15" customHeight="1" x14ac:dyDescent="0.25">
      <c r="A24" s="20" t="s">
        <v>90</v>
      </c>
      <c r="B24" s="41">
        <v>159</v>
      </c>
      <c r="C24" s="35" t="s">
        <v>91</v>
      </c>
    </row>
    <row r="25" spans="1:12" ht="15" customHeight="1" x14ac:dyDescent="0.25">
      <c r="A25" s="20" t="s">
        <v>92</v>
      </c>
      <c r="B25" s="36" t="s">
        <v>93</v>
      </c>
      <c r="C25" s="35"/>
    </row>
    <row r="26" spans="1:12" ht="15" customHeight="1" x14ac:dyDescent="0.25">
      <c r="A26" s="20" t="s">
        <v>94</v>
      </c>
      <c r="B26" s="27">
        <f>B22+B19+B20+B21</f>
        <v>825.59999999999991</v>
      </c>
      <c r="C26" s="35" t="s">
        <v>95</v>
      </c>
    </row>
    <row r="27" spans="1:12" ht="15" customHeight="1" x14ac:dyDescent="0.25">
      <c r="A27" s="35" t="s">
        <v>96</v>
      </c>
    </row>
    <row r="29" spans="1:12" ht="15" customHeight="1" x14ac:dyDescent="0.25">
      <c r="A29" s="16" t="s">
        <v>97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5" customHeight="1" x14ac:dyDescent="0.25">
      <c r="C30" s="42" t="s">
        <v>31</v>
      </c>
      <c r="D30" s="42" t="s">
        <v>32</v>
      </c>
      <c r="E30" s="42" t="s">
        <v>46</v>
      </c>
      <c r="F30" s="42" t="s">
        <v>98</v>
      </c>
      <c r="G30" s="42" t="s">
        <v>47</v>
      </c>
      <c r="H30" s="42" t="s">
        <v>99</v>
      </c>
      <c r="I30" s="42" t="s">
        <v>100</v>
      </c>
    </row>
    <row r="31" spans="1:12" ht="15" customHeight="1" x14ac:dyDescent="0.25">
      <c r="A31" s="20" t="s">
        <v>101</v>
      </c>
      <c r="C31" s="43">
        <v>0.15</v>
      </c>
      <c r="D31" s="43">
        <v>0.16</v>
      </c>
      <c r="E31" s="43">
        <v>0.15</v>
      </c>
      <c r="F31" s="43">
        <v>0.14000000000000001</v>
      </c>
      <c r="G31" s="43">
        <v>0.15</v>
      </c>
      <c r="H31" s="43">
        <v>0.15</v>
      </c>
      <c r="I31" s="43">
        <v>0.14000000000000001</v>
      </c>
    </row>
    <row r="32" spans="1:12" ht="15" customHeight="1" x14ac:dyDescent="0.25">
      <c r="A32" s="20" t="s">
        <v>102</v>
      </c>
      <c r="C32" s="43">
        <v>1.6</v>
      </c>
      <c r="D32" s="43">
        <v>-0.05</v>
      </c>
      <c r="E32" s="43">
        <v>-0.3</v>
      </c>
      <c r="F32" s="43">
        <v>-0.2</v>
      </c>
      <c r="G32" s="43">
        <v>-0.1</v>
      </c>
      <c r="H32" s="43">
        <v>-0.08</v>
      </c>
      <c r="I32" s="43">
        <v>-7.0000000000000007E-2</v>
      </c>
    </row>
    <row r="33" spans="1:12" ht="15" customHeight="1" x14ac:dyDescent="0.25">
      <c r="A33" s="20" t="s">
        <v>103</v>
      </c>
      <c r="C33" s="43">
        <v>0.01</v>
      </c>
      <c r="D33" s="43">
        <v>0.01</v>
      </c>
      <c r="E33" s="43">
        <v>0</v>
      </c>
      <c r="F33" s="43">
        <v>0</v>
      </c>
      <c r="G33" s="43">
        <v>0</v>
      </c>
      <c r="H33" s="43">
        <v>0.01</v>
      </c>
      <c r="I33" s="43">
        <v>0.01</v>
      </c>
    </row>
    <row r="34" spans="1:12" ht="15" customHeight="1" x14ac:dyDescent="0.25">
      <c r="A34" s="20" t="s">
        <v>104</v>
      </c>
      <c r="C34" s="43">
        <f>C111/150-1</f>
        <v>1.3333333333333419E-2</v>
      </c>
      <c r="D34" s="43">
        <f t="shared" ref="D34:I34" si="0">D111/C111-1</f>
        <v>-4.6052631578947345E-2</v>
      </c>
      <c r="E34" s="43">
        <f t="shared" si="0"/>
        <v>-3.4482758620689613E-2</v>
      </c>
      <c r="F34" s="43">
        <f t="shared" si="0"/>
        <v>-1.4285714285714235E-2</v>
      </c>
      <c r="G34" s="43">
        <f t="shared" si="0"/>
        <v>-1.4492753623188359E-2</v>
      </c>
      <c r="H34" s="43">
        <f t="shared" si="0"/>
        <v>-7.3529411764705621E-3</v>
      </c>
      <c r="I34" s="43">
        <f t="shared" si="0"/>
        <v>-7.4074074074074181E-3</v>
      </c>
    </row>
    <row r="35" spans="1:12" ht="15" customHeight="1" x14ac:dyDescent="0.25">
      <c r="A35" s="20" t="s">
        <v>105</v>
      </c>
      <c r="C35" s="43">
        <v>0.7</v>
      </c>
      <c r="D35" s="43">
        <v>0.52</v>
      </c>
      <c r="E35" s="43">
        <v>0.28000000000000003</v>
      </c>
      <c r="F35" s="43">
        <v>0.24</v>
      </c>
      <c r="G35" s="43">
        <v>0.28000000000000003</v>
      </c>
      <c r="H35" s="43">
        <v>0.3</v>
      </c>
      <c r="I35" s="43">
        <v>0.31</v>
      </c>
    </row>
    <row r="36" spans="1:12" ht="15" customHeight="1" x14ac:dyDescent="0.25">
      <c r="A36" s="20" t="s">
        <v>106</v>
      </c>
      <c r="C36" s="44">
        <v>450</v>
      </c>
      <c r="D36" s="44">
        <v>420</v>
      </c>
      <c r="E36" s="44">
        <v>400</v>
      </c>
      <c r="F36" s="44">
        <v>400</v>
      </c>
      <c r="G36" s="44">
        <v>425</v>
      </c>
      <c r="H36" s="44">
        <v>450</v>
      </c>
      <c r="I36" s="44">
        <v>475</v>
      </c>
    </row>
    <row r="37" spans="1:12" ht="15" customHeight="1" x14ac:dyDescent="0.25">
      <c r="A37" s="20" t="s">
        <v>107</v>
      </c>
      <c r="C37" s="44">
        <v>55</v>
      </c>
      <c r="D37" s="44">
        <v>50</v>
      </c>
      <c r="E37" s="44">
        <v>45</v>
      </c>
      <c r="F37" s="44">
        <v>35</v>
      </c>
      <c r="G37" s="44">
        <v>25</v>
      </c>
      <c r="H37" s="44">
        <v>15</v>
      </c>
      <c r="I37" s="44">
        <v>10</v>
      </c>
    </row>
    <row r="38" spans="1:12" ht="15" customHeight="1" x14ac:dyDescent="0.25">
      <c r="A38" s="20" t="s">
        <v>108</v>
      </c>
      <c r="C38" s="43">
        <v>0.14000000000000001</v>
      </c>
      <c r="D38" s="43">
        <v>0.14000000000000001</v>
      </c>
      <c r="E38" s="43">
        <v>0.13</v>
      </c>
      <c r="F38" s="43">
        <v>0.13</v>
      </c>
      <c r="G38" s="43">
        <v>0.12</v>
      </c>
      <c r="H38" s="43">
        <v>0.12</v>
      </c>
      <c r="I38" s="43">
        <v>0.12</v>
      </c>
    </row>
    <row r="39" spans="1:12" ht="15" customHeight="1" x14ac:dyDescent="0.25">
      <c r="A39" s="20" t="s">
        <v>109</v>
      </c>
      <c r="C39" s="43">
        <v>0.24</v>
      </c>
      <c r="D39" s="43">
        <v>0.25</v>
      </c>
      <c r="E39" s="43">
        <v>0.27</v>
      </c>
      <c r="F39" s="43">
        <v>0.28000000000000003</v>
      </c>
      <c r="G39" s="43">
        <v>0.28000000000000003</v>
      </c>
      <c r="H39" s="43">
        <v>0.28000000000000003</v>
      </c>
      <c r="I39" s="43">
        <v>0.28000000000000003</v>
      </c>
    </row>
    <row r="40" spans="1:12" ht="15" customHeight="1" x14ac:dyDescent="0.25">
      <c r="A40" s="1" t="s">
        <v>110</v>
      </c>
      <c r="C40" s="45">
        <v>0.05</v>
      </c>
      <c r="D40" s="45">
        <v>0.05</v>
      </c>
      <c r="E40" s="45">
        <v>0.06</v>
      </c>
      <c r="F40" s="45">
        <v>0.06</v>
      </c>
      <c r="G40" s="45">
        <v>0.06</v>
      </c>
      <c r="H40" s="45">
        <v>0.06</v>
      </c>
      <c r="I40" s="45">
        <v>0.06</v>
      </c>
      <c r="K40" s="1" t="s">
        <v>111</v>
      </c>
    </row>
    <row r="41" spans="1:12" ht="15" customHeight="1" x14ac:dyDescent="0.25">
      <c r="A41" s="16" t="s">
        <v>112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12" ht="15" customHeight="1" x14ac:dyDescent="0.25">
      <c r="C42" s="42" t="s">
        <v>31</v>
      </c>
      <c r="D42" s="42" t="s">
        <v>32</v>
      </c>
      <c r="E42" s="42" t="s">
        <v>46</v>
      </c>
      <c r="F42" s="42" t="s">
        <v>98</v>
      </c>
      <c r="G42" s="42" t="s">
        <v>47</v>
      </c>
      <c r="H42" s="42" t="s">
        <v>99</v>
      </c>
      <c r="I42" s="42" t="s">
        <v>100</v>
      </c>
    </row>
    <row r="43" spans="1:12" ht="15" customHeight="1" x14ac:dyDescent="0.25">
      <c r="A43" s="20" t="s">
        <v>101</v>
      </c>
      <c r="C43" s="43">
        <v>0.2</v>
      </c>
      <c r="D43" s="43">
        <v>0.24</v>
      </c>
      <c r="E43" s="43">
        <v>0.24</v>
      </c>
      <c r="F43" s="43">
        <v>0.22</v>
      </c>
      <c r="G43" s="43">
        <v>0.19</v>
      </c>
      <c r="H43" s="43">
        <v>0.17</v>
      </c>
      <c r="I43" s="43">
        <v>0.16</v>
      </c>
    </row>
    <row r="44" spans="1:12" ht="15" customHeight="1" x14ac:dyDescent="0.25">
      <c r="A44" s="20" t="s">
        <v>102</v>
      </c>
      <c r="C44" s="46">
        <v>2.0859999999999999</v>
      </c>
      <c r="D44" s="43">
        <v>0.05</v>
      </c>
      <c r="E44" s="43">
        <v>-0.2</v>
      </c>
      <c r="F44" s="43">
        <v>-0.18</v>
      </c>
      <c r="G44" s="43">
        <v>-0.14000000000000001</v>
      </c>
      <c r="H44" s="43">
        <v>-0.12</v>
      </c>
      <c r="I44" s="43">
        <v>-0.1</v>
      </c>
      <c r="K44" s="35" t="s">
        <v>113</v>
      </c>
    </row>
    <row r="45" spans="1:12" ht="15" customHeight="1" x14ac:dyDescent="0.25">
      <c r="A45" s="20" t="s">
        <v>103</v>
      </c>
      <c r="C45" s="43">
        <v>0.03</v>
      </c>
      <c r="D45" s="43">
        <v>0.04</v>
      </c>
      <c r="E45" s="43">
        <v>0.03</v>
      </c>
      <c r="F45" s="43">
        <v>0.03</v>
      </c>
      <c r="G45" s="43">
        <v>0.02</v>
      </c>
      <c r="H45" s="43">
        <v>0.02</v>
      </c>
      <c r="I45" s="43">
        <v>0.01</v>
      </c>
    </row>
    <row r="46" spans="1:12" ht="15" customHeight="1" x14ac:dyDescent="0.25">
      <c r="A46" s="20" t="s">
        <v>104</v>
      </c>
      <c r="C46" s="43">
        <f>C112/150-1</f>
        <v>4.0000000000000036E-2</v>
      </c>
      <c r="D46" s="43">
        <f t="shared" ref="D46:I46" si="1">D112/C112-1</f>
        <v>-2.5641025641025661E-2</v>
      </c>
      <c r="E46" s="43">
        <f t="shared" si="1"/>
        <v>-1.9736842105263164E-2</v>
      </c>
      <c r="F46" s="43">
        <f t="shared" si="1"/>
        <v>-1.3422818791946289E-2</v>
      </c>
      <c r="G46" s="43">
        <f t="shared" si="1"/>
        <v>-1.3605442176870763E-2</v>
      </c>
      <c r="H46" s="43">
        <f t="shared" si="1"/>
        <v>-1.379310344827589E-2</v>
      </c>
      <c r="I46" s="43">
        <f t="shared" si="1"/>
        <v>-6.9930069930069783E-3</v>
      </c>
    </row>
    <row r="47" spans="1:12" ht="15" customHeight="1" x14ac:dyDescent="0.25">
      <c r="A47" s="20" t="s">
        <v>105</v>
      </c>
      <c r="C47" s="46">
        <v>0.80900000000000005</v>
      </c>
      <c r="D47" s="43">
        <v>0.68</v>
      </c>
      <c r="E47" s="43">
        <v>0.46</v>
      </c>
      <c r="F47" s="43">
        <v>0.39</v>
      </c>
      <c r="G47" s="43">
        <v>0.39</v>
      </c>
      <c r="H47" s="43">
        <v>0.4</v>
      </c>
      <c r="I47" s="43">
        <v>0.4</v>
      </c>
    </row>
    <row r="48" spans="1:12" ht="15" customHeight="1" x14ac:dyDescent="0.25">
      <c r="A48" s="20" t="s">
        <v>106</v>
      </c>
      <c r="C48" s="44">
        <v>450</v>
      </c>
      <c r="D48" s="44">
        <v>480</v>
      </c>
      <c r="E48" s="44">
        <v>480</v>
      </c>
      <c r="F48" s="44">
        <v>500</v>
      </c>
      <c r="G48" s="44">
        <v>525</v>
      </c>
      <c r="H48" s="44">
        <v>550</v>
      </c>
      <c r="I48" s="44">
        <v>575</v>
      </c>
    </row>
    <row r="49" spans="1:12" ht="15" customHeight="1" x14ac:dyDescent="0.25">
      <c r="A49" s="20" t="s">
        <v>107</v>
      </c>
      <c r="C49" s="44">
        <v>55</v>
      </c>
      <c r="D49" s="44">
        <v>55</v>
      </c>
      <c r="E49" s="44">
        <v>50</v>
      </c>
      <c r="F49" s="44">
        <v>40</v>
      </c>
      <c r="G49" s="44">
        <v>30</v>
      </c>
      <c r="H49" s="44">
        <v>20</v>
      </c>
      <c r="I49" s="44">
        <v>15</v>
      </c>
    </row>
    <row r="50" spans="1:12" ht="15" customHeight="1" x14ac:dyDescent="0.25">
      <c r="A50" s="20" t="s">
        <v>108</v>
      </c>
      <c r="C50" s="43">
        <v>0.12</v>
      </c>
      <c r="D50" s="43">
        <v>0.115</v>
      </c>
      <c r="E50" s="43">
        <v>0.11</v>
      </c>
      <c r="F50" s="43">
        <v>0.11</v>
      </c>
      <c r="G50" s="43">
        <v>0.105</v>
      </c>
      <c r="H50" s="43">
        <v>0.105</v>
      </c>
      <c r="I50" s="43">
        <v>0.105</v>
      </c>
    </row>
    <row r="51" spans="1:12" ht="15" customHeight="1" x14ac:dyDescent="0.25">
      <c r="A51" s="20" t="s">
        <v>109</v>
      </c>
      <c r="C51" s="43">
        <v>0.26</v>
      </c>
      <c r="D51" s="43">
        <v>0.27</v>
      </c>
      <c r="E51" s="43">
        <v>0.28000000000000003</v>
      </c>
      <c r="F51" s="43">
        <v>0.28000000000000003</v>
      </c>
      <c r="G51" s="43">
        <v>0.28000000000000003</v>
      </c>
      <c r="H51" s="43">
        <v>0.28000000000000003</v>
      </c>
      <c r="I51" s="43">
        <v>0.28000000000000003</v>
      </c>
    </row>
    <row r="52" spans="1:12" ht="15" customHeight="1" x14ac:dyDescent="0.25">
      <c r="A52" s="1" t="s">
        <v>110</v>
      </c>
      <c r="C52" s="45">
        <v>0.04</v>
      </c>
      <c r="D52" s="45">
        <v>3.5000000000000003E-2</v>
      </c>
      <c r="E52" s="45">
        <v>0.04</v>
      </c>
      <c r="F52" s="45">
        <v>4.4999999999999998E-2</v>
      </c>
      <c r="G52" s="45">
        <v>4.4999999999999998E-2</v>
      </c>
      <c r="H52" s="45">
        <v>4.4999999999999998E-2</v>
      </c>
      <c r="I52" s="45">
        <v>4.4999999999999998E-2</v>
      </c>
      <c r="K52" s="1" t="s">
        <v>114</v>
      </c>
    </row>
    <row r="53" spans="1:12" ht="15" customHeight="1" x14ac:dyDescent="0.25">
      <c r="A53" s="16" t="s">
        <v>115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ht="15" customHeight="1" x14ac:dyDescent="0.25">
      <c r="C54" s="42" t="s">
        <v>31</v>
      </c>
      <c r="D54" s="42" t="s">
        <v>32</v>
      </c>
      <c r="E54" s="42" t="s">
        <v>46</v>
      </c>
      <c r="F54" s="42" t="s">
        <v>98</v>
      </c>
      <c r="G54" s="42" t="s">
        <v>47</v>
      </c>
      <c r="H54" s="42" t="s">
        <v>99</v>
      </c>
      <c r="I54" s="42" t="s">
        <v>100</v>
      </c>
    </row>
    <row r="55" spans="1:12" ht="15" customHeight="1" x14ac:dyDescent="0.25">
      <c r="A55" s="20" t="s">
        <v>101</v>
      </c>
      <c r="C55" s="43">
        <v>0.23</v>
      </c>
      <c r="D55" s="43">
        <v>0.27</v>
      </c>
      <c r="E55" s="43">
        <v>0.25</v>
      </c>
      <c r="F55" s="43">
        <v>0.22</v>
      </c>
      <c r="G55" s="43">
        <v>0.19</v>
      </c>
      <c r="H55" s="43">
        <v>0.17</v>
      </c>
      <c r="I55" s="43">
        <v>0.16</v>
      </c>
    </row>
    <row r="56" spans="1:12" ht="15" customHeight="1" x14ac:dyDescent="0.25">
      <c r="A56" s="20" t="s">
        <v>102</v>
      </c>
      <c r="C56" s="43">
        <v>2.25</v>
      </c>
      <c r="D56" s="43">
        <v>0.1</v>
      </c>
      <c r="E56" s="43">
        <v>-0.15</v>
      </c>
      <c r="F56" s="43">
        <v>-0.15</v>
      </c>
      <c r="G56" s="43">
        <v>-0.13</v>
      </c>
      <c r="H56" s="43">
        <v>-0.11</v>
      </c>
      <c r="I56" s="43">
        <v>-0.1</v>
      </c>
    </row>
    <row r="57" spans="1:12" ht="15" customHeight="1" x14ac:dyDescent="0.25">
      <c r="A57" s="20" t="s">
        <v>103</v>
      </c>
      <c r="C57" s="43">
        <v>0.04</v>
      </c>
      <c r="D57" s="43">
        <v>0.05</v>
      </c>
      <c r="E57" s="43">
        <v>0.05</v>
      </c>
      <c r="F57" s="43">
        <v>0.04</v>
      </c>
      <c r="G57" s="43">
        <v>0.03</v>
      </c>
      <c r="H57" s="43">
        <v>0.02</v>
      </c>
      <c r="I57" s="43">
        <v>0.02</v>
      </c>
    </row>
    <row r="58" spans="1:12" ht="15" customHeight="1" x14ac:dyDescent="0.25">
      <c r="A58" s="20" t="s">
        <v>104</v>
      </c>
      <c r="C58" s="43">
        <f>C113/150-1</f>
        <v>6.6666666666666652E-2</v>
      </c>
      <c r="D58" s="43">
        <f t="shared" ref="D58:I58" si="2">D113/C113-1</f>
        <v>0</v>
      </c>
      <c r="E58" s="43">
        <f t="shared" si="2"/>
        <v>-1.2499999999999956E-2</v>
      </c>
      <c r="F58" s="43">
        <f t="shared" si="2"/>
        <v>-1.2658227848101222E-2</v>
      </c>
      <c r="G58" s="43">
        <f t="shared" si="2"/>
        <v>-6.4102564102563875E-3</v>
      </c>
      <c r="H58" s="43">
        <f t="shared" si="2"/>
        <v>-6.4516129032258229E-3</v>
      </c>
      <c r="I58" s="43">
        <f t="shared" si="2"/>
        <v>-6.4935064935064402E-3</v>
      </c>
    </row>
    <row r="59" spans="1:12" ht="15" customHeight="1" x14ac:dyDescent="0.25">
      <c r="A59" s="20" t="s">
        <v>105</v>
      </c>
      <c r="C59" s="43">
        <v>0.84</v>
      </c>
      <c r="D59" s="43">
        <v>0.8</v>
      </c>
      <c r="E59" s="43">
        <v>0.68</v>
      </c>
      <c r="F59" s="43">
        <v>0.57999999999999996</v>
      </c>
      <c r="G59" s="43">
        <v>0.52</v>
      </c>
      <c r="H59" s="43">
        <v>0.48</v>
      </c>
      <c r="I59" s="43">
        <v>0.46</v>
      </c>
    </row>
    <row r="60" spans="1:12" ht="15" customHeight="1" x14ac:dyDescent="0.25">
      <c r="A60" s="20" t="s">
        <v>106</v>
      </c>
      <c r="C60" s="44">
        <v>450</v>
      </c>
      <c r="D60" s="44">
        <v>550</v>
      </c>
      <c r="E60" s="44">
        <v>650</v>
      </c>
      <c r="F60" s="44">
        <v>700</v>
      </c>
      <c r="G60" s="44">
        <v>700</v>
      </c>
      <c r="H60" s="44">
        <v>700</v>
      </c>
      <c r="I60" s="44">
        <v>700</v>
      </c>
    </row>
    <row r="61" spans="1:12" ht="15" customHeight="1" x14ac:dyDescent="0.25">
      <c r="A61" s="20" t="s">
        <v>107</v>
      </c>
      <c r="C61" s="44">
        <v>55</v>
      </c>
      <c r="D61" s="44">
        <v>60</v>
      </c>
      <c r="E61" s="44">
        <v>65</v>
      </c>
      <c r="F61" s="44">
        <v>60</v>
      </c>
      <c r="G61" s="44">
        <v>50</v>
      </c>
      <c r="H61" s="44">
        <v>40</v>
      </c>
      <c r="I61" s="44">
        <v>30</v>
      </c>
    </row>
    <row r="62" spans="1:12" ht="15" customHeight="1" x14ac:dyDescent="0.25">
      <c r="A62" s="20" t="s">
        <v>108</v>
      </c>
      <c r="C62" s="43">
        <v>0.11</v>
      </c>
      <c r="D62" s="43">
        <v>0.105</v>
      </c>
      <c r="E62" s="43">
        <v>0.1</v>
      </c>
      <c r="F62" s="43">
        <v>0.1</v>
      </c>
      <c r="G62" s="43">
        <v>9.5000000000000001E-2</v>
      </c>
      <c r="H62" s="43">
        <v>9.5000000000000001E-2</v>
      </c>
      <c r="I62" s="43">
        <v>9.5000000000000001E-2</v>
      </c>
    </row>
    <row r="63" spans="1:12" ht="15" customHeight="1" x14ac:dyDescent="0.25">
      <c r="A63" s="20" t="s">
        <v>109</v>
      </c>
      <c r="C63" s="43">
        <v>0.27</v>
      </c>
      <c r="D63" s="43">
        <v>0.28000000000000003</v>
      </c>
      <c r="E63" s="43">
        <v>0.28000000000000003</v>
      </c>
      <c r="F63" s="43">
        <v>0.28000000000000003</v>
      </c>
      <c r="G63" s="43">
        <v>0.28000000000000003</v>
      </c>
      <c r="H63" s="43">
        <v>0.28000000000000003</v>
      </c>
      <c r="I63" s="43">
        <v>0.28000000000000003</v>
      </c>
    </row>
    <row r="64" spans="1:12" ht="15" customHeight="1" x14ac:dyDescent="0.25">
      <c r="A64" s="1" t="s">
        <v>110</v>
      </c>
      <c r="C64" s="45">
        <v>3.7999999999999999E-2</v>
      </c>
      <c r="D64" s="45">
        <v>3.2000000000000001E-2</v>
      </c>
      <c r="E64" s="45">
        <v>3.2000000000000001E-2</v>
      </c>
      <c r="F64" s="45">
        <v>3.5000000000000003E-2</v>
      </c>
      <c r="G64" s="45">
        <v>3.7999999999999999E-2</v>
      </c>
      <c r="H64" s="45">
        <v>0.04</v>
      </c>
      <c r="I64" s="45">
        <v>0.04</v>
      </c>
      <c r="K64" s="1" t="s">
        <v>116</v>
      </c>
    </row>
    <row r="65" spans="1:12" ht="15" customHeight="1" x14ac:dyDescent="0.25">
      <c r="A65" s="16" t="s">
        <v>117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 ht="15" customHeight="1" x14ac:dyDescent="0.25">
      <c r="C66" s="42" t="s">
        <v>31</v>
      </c>
      <c r="D66" s="42" t="s">
        <v>32</v>
      </c>
      <c r="E66" s="42" t="s">
        <v>46</v>
      </c>
      <c r="F66" s="42" t="s">
        <v>98</v>
      </c>
      <c r="G66" s="42" t="s">
        <v>47</v>
      </c>
      <c r="H66" s="42" t="s">
        <v>99</v>
      </c>
      <c r="I66" s="42" t="s">
        <v>100</v>
      </c>
    </row>
    <row r="67" spans="1:12" ht="15" customHeight="1" x14ac:dyDescent="0.25">
      <c r="A67" s="20" t="s">
        <v>101</v>
      </c>
      <c r="C67" s="47">
        <f t="shared" ref="C67:I75" si="3">CHOOSE($B$6,C31,C43,C55)</f>
        <v>0.2</v>
      </c>
      <c r="D67" s="47">
        <f t="shared" si="3"/>
        <v>0.24</v>
      </c>
      <c r="E67" s="47">
        <f t="shared" si="3"/>
        <v>0.24</v>
      </c>
      <c r="F67" s="47">
        <f t="shared" si="3"/>
        <v>0.22</v>
      </c>
      <c r="G67" s="47">
        <f t="shared" si="3"/>
        <v>0.19</v>
      </c>
      <c r="H67" s="47">
        <f t="shared" si="3"/>
        <v>0.17</v>
      </c>
      <c r="I67" s="47">
        <f t="shared" si="3"/>
        <v>0.16</v>
      </c>
    </row>
    <row r="68" spans="1:12" ht="15" customHeight="1" x14ac:dyDescent="0.25">
      <c r="A68" s="20" t="s">
        <v>102</v>
      </c>
      <c r="C68" s="47">
        <f t="shared" si="3"/>
        <v>2.0859999999999999</v>
      </c>
      <c r="D68" s="47">
        <f t="shared" si="3"/>
        <v>0.05</v>
      </c>
      <c r="E68" s="47">
        <f t="shared" si="3"/>
        <v>-0.2</v>
      </c>
      <c r="F68" s="47">
        <f t="shared" si="3"/>
        <v>-0.18</v>
      </c>
      <c r="G68" s="47">
        <f t="shared" si="3"/>
        <v>-0.14000000000000001</v>
      </c>
      <c r="H68" s="47">
        <f t="shared" si="3"/>
        <v>-0.12</v>
      </c>
      <c r="I68" s="47">
        <f t="shared" si="3"/>
        <v>-0.1</v>
      </c>
    </row>
    <row r="69" spans="1:12" ht="15" customHeight="1" x14ac:dyDescent="0.25">
      <c r="A69" s="20" t="s">
        <v>103</v>
      </c>
      <c r="C69" s="47">
        <f t="shared" si="3"/>
        <v>0.03</v>
      </c>
      <c r="D69" s="47">
        <f t="shared" si="3"/>
        <v>0.04</v>
      </c>
      <c r="E69" s="47">
        <f t="shared" si="3"/>
        <v>0.03</v>
      </c>
      <c r="F69" s="47">
        <f t="shared" si="3"/>
        <v>0.03</v>
      </c>
      <c r="G69" s="47">
        <f t="shared" si="3"/>
        <v>0.02</v>
      </c>
      <c r="H69" s="47">
        <f t="shared" si="3"/>
        <v>0.02</v>
      </c>
      <c r="I69" s="47">
        <f t="shared" si="3"/>
        <v>0.01</v>
      </c>
    </row>
    <row r="70" spans="1:12" ht="15" customHeight="1" x14ac:dyDescent="0.25">
      <c r="A70" s="20" t="s">
        <v>104</v>
      </c>
      <c r="C70" s="47">
        <f t="shared" si="3"/>
        <v>4.0000000000000036E-2</v>
      </c>
      <c r="D70" s="47">
        <f t="shared" si="3"/>
        <v>-2.5641025641025661E-2</v>
      </c>
      <c r="E70" s="47">
        <f t="shared" si="3"/>
        <v>-1.9736842105263164E-2</v>
      </c>
      <c r="F70" s="47">
        <f t="shared" si="3"/>
        <v>-1.3422818791946289E-2</v>
      </c>
      <c r="G70" s="47">
        <f t="shared" si="3"/>
        <v>-1.3605442176870763E-2</v>
      </c>
      <c r="H70" s="47">
        <f t="shared" si="3"/>
        <v>-1.379310344827589E-2</v>
      </c>
      <c r="I70" s="47">
        <f t="shared" si="3"/>
        <v>-6.9930069930069783E-3</v>
      </c>
    </row>
    <row r="71" spans="1:12" ht="15" customHeight="1" x14ac:dyDescent="0.25">
      <c r="A71" s="20" t="s">
        <v>105</v>
      </c>
      <c r="C71" s="47">
        <f t="shared" si="3"/>
        <v>0.80900000000000005</v>
      </c>
      <c r="D71" s="47">
        <f t="shared" si="3"/>
        <v>0.68</v>
      </c>
      <c r="E71" s="47">
        <f t="shared" si="3"/>
        <v>0.46</v>
      </c>
      <c r="F71" s="47">
        <f t="shared" si="3"/>
        <v>0.39</v>
      </c>
      <c r="G71" s="47">
        <f t="shared" si="3"/>
        <v>0.39</v>
      </c>
      <c r="H71" s="47">
        <f t="shared" si="3"/>
        <v>0.4</v>
      </c>
      <c r="I71" s="47">
        <f t="shared" si="3"/>
        <v>0.4</v>
      </c>
    </row>
    <row r="72" spans="1:12" ht="15" customHeight="1" x14ac:dyDescent="0.25">
      <c r="A72" s="20" t="s">
        <v>106</v>
      </c>
      <c r="C72" s="48">
        <f t="shared" si="3"/>
        <v>450</v>
      </c>
      <c r="D72" s="48">
        <f t="shared" si="3"/>
        <v>480</v>
      </c>
      <c r="E72" s="48">
        <f t="shared" si="3"/>
        <v>480</v>
      </c>
      <c r="F72" s="48">
        <f t="shared" si="3"/>
        <v>500</v>
      </c>
      <c r="G72" s="48">
        <f t="shared" si="3"/>
        <v>525</v>
      </c>
      <c r="H72" s="48">
        <f t="shared" si="3"/>
        <v>550</v>
      </c>
      <c r="I72" s="48">
        <f t="shared" si="3"/>
        <v>575</v>
      </c>
    </row>
    <row r="73" spans="1:12" ht="15" customHeight="1" x14ac:dyDescent="0.25">
      <c r="A73" s="20" t="s">
        <v>107</v>
      </c>
      <c r="C73" s="48">
        <f t="shared" si="3"/>
        <v>55</v>
      </c>
      <c r="D73" s="48">
        <f t="shared" si="3"/>
        <v>55</v>
      </c>
      <c r="E73" s="48">
        <f t="shared" si="3"/>
        <v>50</v>
      </c>
      <c r="F73" s="48">
        <f t="shared" si="3"/>
        <v>40</v>
      </c>
      <c r="G73" s="48">
        <f t="shared" si="3"/>
        <v>30</v>
      </c>
      <c r="H73" s="48">
        <f t="shared" si="3"/>
        <v>20</v>
      </c>
      <c r="I73" s="48">
        <f t="shared" si="3"/>
        <v>15</v>
      </c>
    </row>
    <row r="74" spans="1:12" ht="15" customHeight="1" x14ac:dyDescent="0.25">
      <c r="A74" s="20" t="s">
        <v>108</v>
      </c>
      <c r="C74" s="47">
        <f t="shared" si="3"/>
        <v>0.12</v>
      </c>
      <c r="D74" s="47">
        <f t="shared" si="3"/>
        <v>0.115</v>
      </c>
      <c r="E74" s="47">
        <f t="shared" si="3"/>
        <v>0.11</v>
      </c>
      <c r="F74" s="47">
        <f t="shared" si="3"/>
        <v>0.11</v>
      </c>
      <c r="G74" s="47">
        <f t="shared" si="3"/>
        <v>0.105</v>
      </c>
      <c r="H74" s="47">
        <f t="shared" si="3"/>
        <v>0.105</v>
      </c>
      <c r="I74" s="47">
        <f t="shared" si="3"/>
        <v>0.105</v>
      </c>
    </row>
    <row r="75" spans="1:12" ht="15" customHeight="1" x14ac:dyDescent="0.25">
      <c r="A75" s="20" t="s">
        <v>109</v>
      </c>
      <c r="C75" s="47">
        <f t="shared" si="3"/>
        <v>0.26</v>
      </c>
      <c r="D75" s="47">
        <f t="shared" si="3"/>
        <v>0.27</v>
      </c>
      <c r="E75" s="47">
        <f t="shared" si="3"/>
        <v>0.28000000000000003</v>
      </c>
      <c r="F75" s="47">
        <f t="shared" si="3"/>
        <v>0.28000000000000003</v>
      </c>
      <c r="G75" s="47">
        <f t="shared" si="3"/>
        <v>0.28000000000000003</v>
      </c>
      <c r="H75" s="47">
        <f t="shared" si="3"/>
        <v>0.28000000000000003</v>
      </c>
      <c r="I75" s="47">
        <f t="shared" si="3"/>
        <v>0.28000000000000003</v>
      </c>
    </row>
    <row r="76" spans="1:12" ht="15" customHeight="1" x14ac:dyDescent="0.25">
      <c r="C76" s="49"/>
      <c r="D76" s="49"/>
      <c r="E76" s="49"/>
      <c r="F76" s="49"/>
      <c r="G76" s="49"/>
      <c r="H76" s="49"/>
      <c r="I76" s="49"/>
    </row>
    <row r="77" spans="1:12" ht="15" customHeight="1" x14ac:dyDescent="0.25">
      <c r="A77" s="16" t="s">
        <v>118</v>
      </c>
      <c r="B77" s="17"/>
      <c r="C77" s="50"/>
      <c r="D77" s="50"/>
      <c r="E77" s="50"/>
      <c r="F77" s="50"/>
      <c r="G77" s="50"/>
      <c r="H77" s="50"/>
      <c r="I77" s="50"/>
      <c r="J77" s="17"/>
      <c r="K77" s="17"/>
      <c r="L77" s="17"/>
    </row>
    <row r="78" spans="1:12" ht="15" customHeight="1" x14ac:dyDescent="0.25">
      <c r="A78" s="20" t="s">
        <v>119</v>
      </c>
      <c r="C78" s="51">
        <f t="shared" ref="C78:I78" si="4">CHOOSE($B$6,C40,C52,C64)</f>
        <v>0.04</v>
      </c>
      <c r="D78" s="51">
        <f t="shared" si="4"/>
        <v>3.5000000000000003E-2</v>
      </c>
      <c r="E78" s="51">
        <f t="shared" si="4"/>
        <v>0.04</v>
      </c>
      <c r="F78" s="51">
        <f t="shared" si="4"/>
        <v>4.4999999999999998E-2</v>
      </c>
      <c r="G78" s="51">
        <f t="shared" si="4"/>
        <v>4.4999999999999998E-2</v>
      </c>
      <c r="H78" s="51">
        <f t="shared" si="4"/>
        <v>4.4999999999999998E-2</v>
      </c>
      <c r="I78" s="51">
        <f t="shared" si="4"/>
        <v>4.4999999999999998E-2</v>
      </c>
      <c r="K78" s="35" t="s">
        <v>120</v>
      </c>
    </row>
    <row r="79" spans="1:12" ht="15" customHeight="1" x14ac:dyDescent="0.25">
      <c r="A79" s="20" t="s">
        <v>121</v>
      </c>
      <c r="B79" s="52">
        <v>0.22</v>
      </c>
      <c r="K79" s="35" t="s">
        <v>122</v>
      </c>
    </row>
    <row r="80" spans="1:12" ht="15" customHeight="1" x14ac:dyDescent="0.25">
      <c r="A80" s="20" t="s">
        <v>123</v>
      </c>
      <c r="B80" s="52">
        <v>0.14000000000000001</v>
      </c>
      <c r="K80" s="94" t="s">
        <v>124</v>
      </c>
    </row>
    <row r="81" spans="1:12" ht="15" customHeight="1" x14ac:dyDescent="0.25">
      <c r="A81" s="20" t="s">
        <v>125</v>
      </c>
      <c r="B81" s="52">
        <v>0.08</v>
      </c>
    </row>
    <row r="83" spans="1:12" ht="15" customHeight="1" x14ac:dyDescent="0.25">
      <c r="A83" s="16" t="s">
        <v>126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ht="15" customHeight="1" x14ac:dyDescent="0.25">
      <c r="C84" s="42" t="s">
        <v>127</v>
      </c>
      <c r="D84" s="42" t="s">
        <v>128</v>
      </c>
      <c r="E84" s="42" t="s">
        <v>129</v>
      </c>
      <c r="F84" s="42" t="s">
        <v>130</v>
      </c>
    </row>
    <row r="85" spans="1:12" ht="15" customHeight="1" x14ac:dyDescent="0.25">
      <c r="A85" s="20" t="s">
        <v>131</v>
      </c>
      <c r="C85" s="24">
        <f>$D$85</f>
        <v>9.2987229722155201E-2</v>
      </c>
      <c r="D85" s="24">
        <f>B100</f>
        <v>9.2987229722155201E-2</v>
      </c>
      <c r="E85" s="24">
        <f>$D$85</f>
        <v>9.2987229722155201E-2</v>
      </c>
      <c r="F85" s="53">
        <f>CHOOSE($B$6,C85,D85,E85)</f>
        <v>9.2987229722155201E-2</v>
      </c>
      <c r="K85" s="35" t="s">
        <v>132</v>
      </c>
    </row>
    <row r="86" spans="1:12" ht="15" customHeight="1" x14ac:dyDescent="0.25">
      <c r="A86" s="20" t="s">
        <v>133</v>
      </c>
      <c r="C86" s="52">
        <v>1.4999999999999999E-2</v>
      </c>
      <c r="D86" s="52">
        <v>0.02</v>
      </c>
      <c r="E86" s="52">
        <v>2.5000000000000001E-2</v>
      </c>
      <c r="F86" s="53">
        <f>CHOOSE($B$6,C86,D86,E86)</f>
        <v>0.02</v>
      </c>
      <c r="K86" s="35" t="s">
        <v>134</v>
      </c>
    </row>
    <row r="87" spans="1:12" ht="15" customHeight="1" x14ac:dyDescent="0.25">
      <c r="A87" s="20" t="s">
        <v>135</v>
      </c>
      <c r="C87" s="54">
        <v>4.5</v>
      </c>
      <c r="D87" s="54">
        <v>6</v>
      </c>
      <c r="E87" s="54">
        <v>7.5</v>
      </c>
      <c r="F87" s="32">
        <f>CHOOSE($B$6,C87,D87,E87)</f>
        <v>6</v>
      </c>
    </row>
    <row r="88" spans="1:12" ht="15" customHeight="1" x14ac:dyDescent="0.25">
      <c r="A88" s="20" t="s">
        <v>136</v>
      </c>
      <c r="C88" s="55">
        <v>0.25</v>
      </c>
      <c r="D88" s="55">
        <v>0.5</v>
      </c>
      <c r="E88" s="55">
        <v>0.25</v>
      </c>
      <c r="F88" s="53">
        <f>SUM(C88:E88)</f>
        <v>1</v>
      </c>
    </row>
    <row r="89" spans="1:12" ht="15" customHeight="1" x14ac:dyDescent="0.25">
      <c r="A89" s="35" t="s">
        <v>137</v>
      </c>
    </row>
    <row r="91" spans="1:12" ht="15" customHeight="1" x14ac:dyDescent="0.25">
      <c r="A91" s="16" t="s">
        <v>138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ht="15" customHeight="1" x14ac:dyDescent="0.25">
      <c r="A92" s="20" t="s">
        <v>139</v>
      </c>
      <c r="B92" s="52">
        <v>2.5999999999999999E-2</v>
      </c>
      <c r="C92" s="35" t="s">
        <v>140</v>
      </c>
    </row>
    <row r="93" spans="1:12" ht="15" customHeight="1" x14ac:dyDescent="0.25">
      <c r="A93" s="20" t="s">
        <v>141</v>
      </c>
      <c r="B93" s="52">
        <v>5.5E-2</v>
      </c>
      <c r="C93" s="35" t="s">
        <v>142</v>
      </c>
    </row>
    <row r="94" spans="1:12" ht="15" customHeight="1" x14ac:dyDescent="0.25">
      <c r="A94" s="20" t="s">
        <v>143</v>
      </c>
      <c r="B94" s="56">
        <v>1.25</v>
      </c>
      <c r="C94" s="35" t="s">
        <v>144</v>
      </c>
    </row>
    <row r="95" spans="1:12" ht="15" customHeight="1" x14ac:dyDescent="0.25">
      <c r="A95" s="20" t="s">
        <v>145</v>
      </c>
      <c r="B95" s="24">
        <f>B92+B93*B94</f>
        <v>9.4750000000000001E-2</v>
      </c>
      <c r="C95" s="35"/>
    </row>
    <row r="96" spans="1:12" ht="15" customHeight="1" x14ac:dyDescent="0.25">
      <c r="A96" s="20" t="s">
        <v>146</v>
      </c>
      <c r="B96" s="52">
        <v>2.4E-2</v>
      </c>
      <c r="C96" s="35" t="s">
        <v>147</v>
      </c>
    </row>
    <row r="97" spans="1:12" ht="15" customHeight="1" x14ac:dyDescent="0.25">
      <c r="A97" s="20" t="s">
        <v>148</v>
      </c>
      <c r="B97" s="52">
        <v>0.28000000000000003</v>
      </c>
      <c r="C97" s="35" t="s">
        <v>149</v>
      </c>
    </row>
    <row r="98" spans="1:12" ht="15" customHeight="1" x14ac:dyDescent="0.25">
      <c r="A98" s="20" t="s">
        <v>150</v>
      </c>
      <c r="B98" s="24">
        <f>B96*(1-B97)</f>
        <v>1.728E-2</v>
      </c>
      <c r="C98" s="35"/>
    </row>
    <row r="99" spans="1:12" ht="15" customHeight="1" x14ac:dyDescent="0.25">
      <c r="A99" s="20" t="s">
        <v>151</v>
      </c>
      <c r="B99" s="24">
        <f>B18/(B16+B18)</f>
        <v>2.2754231029363615E-2</v>
      </c>
      <c r="C99" s="35"/>
    </row>
    <row r="100" spans="1:12" ht="15" customHeight="1" x14ac:dyDescent="0.25">
      <c r="A100" s="20" t="s">
        <v>152</v>
      </c>
      <c r="B100" s="24">
        <f>B95*(1-B99)+B98*B99</f>
        <v>9.2987229722155201E-2</v>
      </c>
      <c r="C100" s="35" t="s">
        <v>153</v>
      </c>
    </row>
    <row r="102" spans="1:12" ht="15" customHeight="1" x14ac:dyDescent="0.25">
      <c r="A102" s="16" t="s">
        <v>154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ht="15" customHeight="1" x14ac:dyDescent="0.25">
      <c r="C103" s="42" t="s">
        <v>31</v>
      </c>
      <c r="D103" s="42" t="s">
        <v>32</v>
      </c>
      <c r="E103" s="42" t="s">
        <v>46</v>
      </c>
      <c r="F103" s="42" t="s">
        <v>98</v>
      </c>
      <c r="G103" s="42" t="s">
        <v>47</v>
      </c>
      <c r="H103" s="42" t="s">
        <v>99</v>
      </c>
      <c r="I103" s="42" t="s">
        <v>100</v>
      </c>
    </row>
    <row r="104" spans="1:12" ht="15" customHeight="1" x14ac:dyDescent="0.25">
      <c r="A104" s="20" t="s">
        <v>155</v>
      </c>
      <c r="C104" s="52">
        <v>0.21</v>
      </c>
      <c r="D104" s="52">
        <v>0.23</v>
      </c>
      <c r="E104" s="52">
        <v>0.22</v>
      </c>
      <c r="F104" s="52">
        <v>0.2</v>
      </c>
      <c r="G104" s="52">
        <v>0.18</v>
      </c>
      <c r="H104" s="52">
        <v>0.17</v>
      </c>
      <c r="I104" s="52">
        <v>0.16</v>
      </c>
    </row>
    <row r="105" spans="1:12" ht="15" customHeight="1" x14ac:dyDescent="0.25">
      <c r="A105" s="20" t="s">
        <v>156</v>
      </c>
      <c r="C105" s="52">
        <v>0.18</v>
      </c>
      <c r="D105" s="52">
        <v>0.2</v>
      </c>
      <c r="E105" s="52">
        <v>0.22</v>
      </c>
      <c r="F105" s="52">
        <v>0.21</v>
      </c>
      <c r="G105" s="52">
        <v>0.19</v>
      </c>
      <c r="H105" s="52">
        <v>0.18</v>
      </c>
      <c r="I105" s="52">
        <v>0.17</v>
      </c>
    </row>
    <row r="106" spans="1:12" ht="36" customHeight="1" x14ac:dyDescent="0.25">
      <c r="A106" s="107" t="s">
        <v>157</v>
      </c>
      <c r="B106" s="107"/>
      <c r="C106" s="107"/>
      <c r="D106" s="107"/>
      <c r="E106" s="107"/>
      <c r="F106" s="107"/>
      <c r="G106" s="107"/>
      <c r="H106" s="107"/>
      <c r="I106" s="107"/>
    </row>
    <row r="109" spans="1:12" ht="12.75" customHeight="1" x14ac:dyDescent="0.2">
      <c r="A109" s="95" t="s">
        <v>158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</row>
    <row r="110" spans="1:12" ht="12.75" customHeight="1" x14ac:dyDescent="0.2">
      <c r="A110" s="96" t="s">
        <v>159</v>
      </c>
      <c r="B110" s="96"/>
      <c r="C110" s="96" t="s">
        <v>31</v>
      </c>
      <c r="D110" s="96" t="s">
        <v>32</v>
      </c>
      <c r="E110" s="96" t="s">
        <v>46</v>
      </c>
      <c r="F110" s="96" t="s">
        <v>98</v>
      </c>
      <c r="G110" s="96" t="s">
        <v>47</v>
      </c>
      <c r="H110" s="96" t="s">
        <v>99</v>
      </c>
      <c r="I110" s="96" t="s">
        <v>100</v>
      </c>
      <c r="J110" s="96"/>
      <c r="K110" s="96"/>
    </row>
    <row r="111" spans="1:12" ht="12.75" customHeight="1" x14ac:dyDescent="0.2">
      <c r="A111" s="97" t="s">
        <v>160</v>
      </c>
      <c r="B111" s="97"/>
      <c r="C111" s="98">
        <v>152</v>
      </c>
      <c r="D111" s="98">
        <v>145</v>
      </c>
      <c r="E111" s="98">
        <v>140</v>
      </c>
      <c r="F111" s="98">
        <v>138</v>
      </c>
      <c r="G111" s="98">
        <v>136</v>
      </c>
      <c r="H111" s="98">
        <v>135</v>
      </c>
      <c r="I111" s="98">
        <v>134</v>
      </c>
      <c r="J111" s="97"/>
      <c r="K111" s="97" t="s">
        <v>161</v>
      </c>
    </row>
    <row r="112" spans="1:12" ht="12.75" customHeight="1" x14ac:dyDescent="0.2">
      <c r="A112" s="97" t="s">
        <v>162</v>
      </c>
      <c r="B112" s="97"/>
      <c r="C112" s="98">
        <v>156</v>
      </c>
      <c r="D112" s="98">
        <v>152</v>
      </c>
      <c r="E112" s="98">
        <v>149</v>
      </c>
      <c r="F112" s="98">
        <v>147</v>
      </c>
      <c r="G112" s="98">
        <v>145</v>
      </c>
      <c r="H112" s="98">
        <v>143</v>
      </c>
      <c r="I112" s="98">
        <v>142</v>
      </c>
      <c r="J112" s="97"/>
      <c r="K112" s="97" t="s">
        <v>163</v>
      </c>
    </row>
    <row r="113" spans="1:11" ht="12.75" customHeight="1" x14ac:dyDescent="0.2">
      <c r="A113" s="97" t="s">
        <v>164</v>
      </c>
      <c r="B113" s="97"/>
      <c r="C113" s="98">
        <v>160</v>
      </c>
      <c r="D113" s="98">
        <v>160</v>
      </c>
      <c r="E113" s="98">
        <v>158</v>
      </c>
      <c r="F113" s="98">
        <v>156</v>
      </c>
      <c r="G113" s="98">
        <v>155</v>
      </c>
      <c r="H113" s="98">
        <v>154</v>
      </c>
      <c r="I113" s="98">
        <v>153</v>
      </c>
      <c r="J113" s="97"/>
      <c r="K113" s="97" t="s">
        <v>165</v>
      </c>
    </row>
    <row r="114" spans="1:11" ht="12.75" customHeight="1" x14ac:dyDescent="0.2">
      <c r="A114" s="97"/>
      <c r="B114" s="97"/>
      <c r="C114" s="97"/>
      <c r="D114" s="97"/>
      <c r="E114" s="97"/>
      <c r="F114" s="97"/>
      <c r="G114" s="97"/>
      <c r="H114" s="97"/>
      <c r="I114" s="97"/>
      <c r="J114" s="97"/>
      <c r="K114" s="97"/>
    </row>
    <row r="115" spans="1:11" ht="12.75" customHeight="1" x14ac:dyDescent="0.2">
      <c r="A115" s="97"/>
      <c r="B115" s="97"/>
      <c r="C115" s="97"/>
      <c r="D115" s="97"/>
      <c r="E115" s="97"/>
      <c r="F115" s="97"/>
      <c r="G115" s="97"/>
      <c r="H115" s="97"/>
      <c r="I115" s="97"/>
      <c r="J115" s="97"/>
      <c r="K115" s="97"/>
    </row>
    <row r="116" spans="1:11" ht="12.75" customHeight="1" x14ac:dyDescent="0.2">
      <c r="A116" s="95" t="s">
        <v>166</v>
      </c>
      <c r="B116" s="95"/>
      <c r="C116" s="95"/>
      <c r="D116" s="95"/>
      <c r="E116" s="95"/>
      <c r="F116" s="95"/>
      <c r="G116" s="95"/>
      <c r="H116" s="95"/>
      <c r="I116" s="95"/>
      <c r="J116" s="95"/>
      <c r="K116" s="95"/>
    </row>
    <row r="117" spans="1:11" ht="12.75" customHeight="1" x14ac:dyDescent="0.2">
      <c r="A117" s="96" t="s">
        <v>159</v>
      </c>
      <c r="B117" s="96"/>
      <c r="C117" s="96" t="s">
        <v>31</v>
      </c>
      <c r="D117" s="96" t="s">
        <v>32</v>
      </c>
      <c r="E117" s="96" t="s">
        <v>46</v>
      </c>
      <c r="F117" s="96" t="s">
        <v>98</v>
      </c>
      <c r="G117" s="96" t="s">
        <v>47</v>
      </c>
      <c r="H117" s="96" t="s">
        <v>99</v>
      </c>
      <c r="I117" s="96" t="s">
        <v>100</v>
      </c>
      <c r="J117" s="96"/>
      <c r="K117" s="96"/>
    </row>
    <row r="118" spans="1:11" ht="12.75" customHeight="1" x14ac:dyDescent="0.2">
      <c r="A118" s="97" t="s">
        <v>167</v>
      </c>
      <c r="B118" s="97"/>
      <c r="C118" s="99">
        <v>0.18</v>
      </c>
      <c r="D118" s="99">
        <v>0.17</v>
      </c>
      <c r="E118" s="99">
        <v>0.16</v>
      </c>
      <c r="F118" s="99">
        <v>0.15</v>
      </c>
      <c r="G118" s="99">
        <v>0.14000000000000001</v>
      </c>
      <c r="H118" s="99">
        <v>0.14000000000000001</v>
      </c>
      <c r="I118" s="99">
        <v>0.14000000000000001</v>
      </c>
      <c r="J118" s="97"/>
      <c r="K118" s="97" t="s">
        <v>168</v>
      </c>
    </row>
    <row r="119" spans="1:11" ht="12.75" customHeight="1" x14ac:dyDescent="0.2">
      <c r="A119" s="97" t="s">
        <v>169</v>
      </c>
      <c r="B119" s="97"/>
      <c r="C119" s="99">
        <v>0.19</v>
      </c>
      <c r="D119" s="99">
        <v>0.22</v>
      </c>
      <c r="E119" s="99">
        <v>0.24</v>
      </c>
      <c r="F119" s="99">
        <v>0.2</v>
      </c>
      <c r="G119" s="99">
        <v>0.17</v>
      </c>
      <c r="H119" s="99">
        <v>0.16</v>
      </c>
      <c r="I119" s="99">
        <v>0.15</v>
      </c>
      <c r="J119" s="97"/>
      <c r="K119" s="97" t="s">
        <v>170</v>
      </c>
    </row>
    <row r="120" spans="1:11" ht="12.75" customHeight="1" x14ac:dyDescent="0.2">
      <c r="A120" s="97" t="s">
        <v>171</v>
      </c>
      <c r="B120" s="97"/>
      <c r="C120" s="99">
        <v>0.21</v>
      </c>
      <c r="D120" s="99">
        <v>0.23</v>
      </c>
      <c r="E120" s="99">
        <v>0.22</v>
      </c>
      <c r="F120" s="99">
        <v>0.2</v>
      </c>
      <c r="G120" s="99">
        <v>0.18</v>
      </c>
      <c r="H120" s="99">
        <v>0.17</v>
      </c>
      <c r="I120" s="99">
        <v>0.16</v>
      </c>
      <c r="J120" s="97"/>
      <c r="K120" s="97" t="s">
        <v>172</v>
      </c>
    </row>
    <row r="121" spans="1:11" ht="12.75" customHeight="1" x14ac:dyDescent="0.2">
      <c r="A121" s="97" t="s">
        <v>173</v>
      </c>
      <c r="B121" s="97"/>
      <c r="C121" s="99">
        <v>0.18</v>
      </c>
      <c r="D121" s="99">
        <v>0.2</v>
      </c>
      <c r="E121" s="99">
        <v>0.22</v>
      </c>
      <c r="F121" s="99">
        <v>0.21</v>
      </c>
      <c r="G121" s="99">
        <v>0.19</v>
      </c>
      <c r="H121" s="99">
        <v>0.18</v>
      </c>
      <c r="I121" s="99">
        <v>0.17</v>
      </c>
      <c r="J121" s="97"/>
      <c r="K121" s="97" t="s">
        <v>174</v>
      </c>
    </row>
    <row r="122" spans="1:11" ht="12.75" customHeight="1" x14ac:dyDescent="0.2">
      <c r="A122" s="97" t="s">
        <v>175</v>
      </c>
      <c r="B122" s="97"/>
      <c r="C122" s="99">
        <v>0.24</v>
      </c>
      <c r="D122" s="99">
        <v>0.27</v>
      </c>
      <c r="E122" s="99">
        <v>0.25</v>
      </c>
      <c r="F122" s="99">
        <v>0.22</v>
      </c>
      <c r="G122" s="99">
        <v>0.2</v>
      </c>
      <c r="H122" s="99">
        <v>0.18</v>
      </c>
      <c r="I122" s="99">
        <v>0.17</v>
      </c>
      <c r="J122" s="97"/>
      <c r="K122" s="97" t="s">
        <v>176</v>
      </c>
    </row>
    <row r="123" spans="1:11" ht="12.75" customHeight="1" x14ac:dyDescent="0.2">
      <c r="A123" s="97" t="s">
        <v>177</v>
      </c>
      <c r="B123" s="97"/>
      <c r="C123" s="99">
        <v>0.18</v>
      </c>
      <c r="D123" s="99">
        <v>0.2</v>
      </c>
      <c r="E123" s="99">
        <v>0.22</v>
      </c>
      <c r="F123" s="99">
        <v>0.22</v>
      </c>
      <c r="G123" s="99">
        <v>0.2</v>
      </c>
      <c r="H123" s="99">
        <v>0.19</v>
      </c>
      <c r="I123" s="99">
        <v>0.18</v>
      </c>
      <c r="J123" s="97"/>
      <c r="K123" s="97" t="s">
        <v>178</v>
      </c>
    </row>
    <row r="124" spans="1:11" ht="12.75" customHeight="1" x14ac:dyDescent="0.2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</row>
    <row r="125" spans="1:11" ht="12.75" customHeight="1" x14ac:dyDescent="0.2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</row>
    <row r="126" spans="1:11" ht="15" customHeight="1" x14ac:dyDescent="0.2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</row>
    <row r="127" spans="1:11" ht="12.75" customHeight="1" x14ac:dyDescent="0.2">
      <c r="A127" s="95" t="s">
        <v>179</v>
      </c>
      <c r="B127" s="95"/>
      <c r="C127" s="95"/>
      <c r="D127" s="95"/>
      <c r="E127" s="95"/>
      <c r="F127" s="95"/>
      <c r="G127" s="95"/>
      <c r="H127" s="95"/>
      <c r="I127" s="95"/>
      <c r="J127" s="95"/>
      <c r="K127" s="95"/>
    </row>
    <row r="128" spans="1:11" ht="12.75" customHeight="1" x14ac:dyDescent="0.2">
      <c r="A128" s="96" t="s">
        <v>180</v>
      </c>
      <c r="B128" s="96" t="s">
        <v>181</v>
      </c>
      <c r="C128" s="96" t="s">
        <v>31</v>
      </c>
      <c r="D128" s="96" t="s">
        <v>32</v>
      </c>
      <c r="E128" s="96" t="s">
        <v>46</v>
      </c>
      <c r="F128" s="96" t="s">
        <v>98</v>
      </c>
      <c r="G128" s="96" t="s">
        <v>47</v>
      </c>
      <c r="H128" s="96" t="s">
        <v>99</v>
      </c>
      <c r="I128" s="96" t="s">
        <v>100</v>
      </c>
      <c r="J128" s="96" t="s">
        <v>182</v>
      </c>
      <c r="K128" s="96" t="s">
        <v>183</v>
      </c>
    </row>
    <row r="129" spans="1:11" ht="12.75" customHeight="1" x14ac:dyDescent="0.2">
      <c r="A129" s="100" t="s">
        <v>184</v>
      </c>
      <c r="B129" s="100" t="s">
        <v>127</v>
      </c>
      <c r="C129" s="101">
        <v>0.18</v>
      </c>
      <c r="D129" s="101">
        <v>0.17</v>
      </c>
      <c r="E129" s="101">
        <v>0.16</v>
      </c>
      <c r="F129" s="101">
        <v>0.15</v>
      </c>
      <c r="G129" s="101">
        <v>0.14000000000000001</v>
      </c>
      <c r="H129" s="101">
        <v>0.14000000000000001</v>
      </c>
      <c r="I129" s="101">
        <v>0.14000000000000001</v>
      </c>
      <c r="J129" s="102" t="s">
        <v>185</v>
      </c>
      <c r="K129" s="102" t="s">
        <v>186</v>
      </c>
    </row>
    <row r="130" spans="1:11" ht="12.75" customHeight="1" x14ac:dyDescent="0.2">
      <c r="A130" s="100" t="s">
        <v>184</v>
      </c>
      <c r="B130" s="100" t="s">
        <v>128</v>
      </c>
      <c r="C130" s="101">
        <v>0.21</v>
      </c>
      <c r="D130" s="101">
        <v>0.23</v>
      </c>
      <c r="E130" s="101">
        <v>0.22</v>
      </c>
      <c r="F130" s="101">
        <v>0.2</v>
      </c>
      <c r="G130" s="101">
        <v>0.18</v>
      </c>
      <c r="H130" s="101">
        <v>0.17</v>
      </c>
      <c r="I130" s="101">
        <v>0.16</v>
      </c>
      <c r="J130" s="102" t="s">
        <v>185</v>
      </c>
      <c r="K130" s="102" t="s">
        <v>186</v>
      </c>
    </row>
    <row r="131" spans="1:11" ht="12.75" customHeight="1" x14ac:dyDescent="0.2">
      <c r="A131" s="100" t="s">
        <v>184</v>
      </c>
      <c r="B131" s="100" t="s">
        <v>129</v>
      </c>
      <c r="C131" s="101">
        <v>0.24</v>
      </c>
      <c r="D131" s="101">
        <v>0.27</v>
      </c>
      <c r="E131" s="101">
        <v>0.25</v>
      </c>
      <c r="F131" s="101">
        <v>0.22</v>
      </c>
      <c r="G131" s="101">
        <v>0.2</v>
      </c>
      <c r="H131" s="101">
        <v>0.18</v>
      </c>
      <c r="I131" s="101">
        <v>0.17</v>
      </c>
      <c r="J131" s="102" t="s">
        <v>185</v>
      </c>
      <c r="K131" s="102" t="s">
        <v>186</v>
      </c>
    </row>
    <row r="132" spans="1:11" ht="12.75" customHeight="1" x14ac:dyDescent="0.2">
      <c r="A132" s="100" t="s">
        <v>187</v>
      </c>
      <c r="B132" s="100" t="s">
        <v>127</v>
      </c>
      <c r="C132" s="101">
        <v>0.19</v>
      </c>
      <c r="D132" s="101">
        <v>0.22</v>
      </c>
      <c r="E132" s="101">
        <v>0.24</v>
      </c>
      <c r="F132" s="101">
        <v>0.2</v>
      </c>
      <c r="G132" s="101">
        <v>0.17</v>
      </c>
      <c r="H132" s="101">
        <v>0.16</v>
      </c>
      <c r="I132" s="101">
        <v>0.15</v>
      </c>
      <c r="J132" s="102" t="s">
        <v>188</v>
      </c>
      <c r="K132" s="102" t="s">
        <v>189</v>
      </c>
    </row>
    <row r="133" spans="1:11" ht="12.75" customHeight="1" x14ac:dyDescent="0.2">
      <c r="A133" s="100" t="s">
        <v>187</v>
      </c>
      <c r="B133" s="100" t="s">
        <v>128</v>
      </c>
      <c r="C133" s="101">
        <v>0.18</v>
      </c>
      <c r="D133" s="101">
        <v>0.2</v>
      </c>
      <c r="E133" s="101">
        <v>0.22</v>
      </c>
      <c r="F133" s="101">
        <v>0.21</v>
      </c>
      <c r="G133" s="101">
        <v>0.19</v>
      </c>
      <c r="H133" s="101">
        <v>0.18</v>
      </c>
      <c r="I133" s="101">
        <v>0.17</v>
      </c>
      <c r="J133" s="102" t="s">
        <v>188</v>
      </c>
      <c r="K133" s="102" t="s">
        <v>189</v>
      </c>
    </row>
    <row r="134" spans="1:11" ht="12.75" customHeight="1" x14ac:dyDescent="0.2">
      <c r="A134" s="100" t="s">
        <v>187</v>
      </c>
      <c r="B134" s="100" t="s">
        <v>129</v>
      </c>
      <c r="C134" s="101">
        <v>0.18</v>
      </c>
      <c r="D134" s="101">
        <v>0.2</v>
      </c>
      <c r="E134" s="101">
        <v>0.22</v>
      </c>
      <c r="F134" s="101">
        <v>0.22</v>
      </c>
      <c r="G134" s="101">
        <v>0.2</v>
      </c>
      <c r="H134" s="101">
        <v>0.19</v>
      </c>
      <c r="I134" s="101">
        <v>0.18</v>
      </c>
      <c r="J134" s="102" t="s">
        <v>188</v>
      </c>
      <c r="K134" s="102" t="s">
        <v>189</v>
      </c>
    </row>
    <row r="135" spans="1:11" ht="12.75" customHeight="1" x14ac:dyDescent="0.2">
      <c r="A135" s="100" t="s">
        <v>190</v>
      </c>
      <c r="B135" s="100" t="s">
        <v>127</v>
      </c>
      <c r="C135" s="101">
        <v>0.15</v>
      </c>
      <c r="D135" s="101">
        <v>0.16</v>
      </c>
      <c r="E135" s="101">
        <v>0.15</v>
      </c>
      <c r="F135" s="101">
        <v>0.14000000000000001</v>
      </c>
      <c r="G135" s="101">
        <v>0.15</v>
      </c>
      <c r="H135" s="101">
        <v>0.15</v>
      </c>
      <c r="I135" s="101">
        <v>0.14000000000000001</v>
      </c>
      <c r="J135" s="102" t="s">
        <v>191</v>
      </c>
      <c r="K135" s="102" t="s">
        <v>192</v>
      </c>
    </row>
    <row r="136" spans="1:11" ht="12.75" customHeight="1" x14ac:dyDescent="0.2">
      <c r="A136" s="100" t="s">
        <v>190</v>
      </c>
      <c r="B136" s="100" t="s">
        <v>128</v>
      </c>
      <c r="C136" s="101">
        <v>0.2</v>
      </c>
      <c r="D136" s="101">
        <v>0.24</v>
      </c>
      <c r="E136" s="101">
        <v>0.24</v>
      </c>
      <c r="F136" s="101">
        <v>0.22</v>
      </c>
      <c r="G136" s="101">
        <v>0.19</v>
      </c>
      <c r="H136" s="101">
        <v>0.17</v>
      </c>
      <c r="I136" s="101">
        <v>0.16</v>
      </c>
      <c r="J136" s="102" t="s">
        <v>191</v>
      </c>
      <c r="K136" s="102" t="s">
        <v>192</v>
      </c>
    </row>
    <row r="137" spans="1:11" ht="12.75" customHeight="1" x14ac:dyDescent="0.2">
      <c r="A137" s="100" t="s">
        <v>190</v>
      </c>
      <c r="B137" s="100" t="s">
        <v>129</v>
      </c>
      <c r="C137" s="101">
        <v>0.23</v>
      </c>
      <c r="D137" s="101">
        <v>0.27</v>
      </c>
      <c r="E137" s="101">
        <v>0.25</v>
      </c>
      <c r="F137" s="101">
        <v>0.22</v>
      </c>
      <c r="G137" s="101">
        <v>0.19</v>
      </c>
      <c r="H137" s="101">
        <v>0.17</v>
      </c>
      <c r="I137" s="101">
        <v>0.16</v>
      </c>
      <c r="J137" s="102" t="s">
        <v>191</v>
      </c>
      <c r="K137" s="102" t="s">
        <v>192</v>
      </c>
    </row>
    <row r="138" spans="1:11" ht="12.75" customHeight="1" x14ac:dyDescent="0.2">
      <c r="A138" s="100" t="s">
        <v>193</v>
      </c>
      <c r="B138" s="100" t="s">
        <v>127</v>
      </c>
      <c r="C138" s="101">
        <v>1.6</v>
      </c>
      <c r="D138" s="101">
        <v>-0.05</v>
      </c>
      <c r="E138" s="101">
        <v>-0.3</v>
      </c>
      <c r="F138" s="101">
        <v>-0.2</v>
      </c>
      <c r="G138" s="101">
        <v>-0.1</v>
      </c>
      <c r="H138" s="101">
        <v>-0.08</v>
      </c>
      <c r="I138" s="101">
        <v>-7.0000000000000007E-2</v>
      </c>
      <c r="J138" s="102" t="s">
        <v>194</v>
      </c>
      <c r="K138" s="102" t="s">
        <v>195</v>
      </c>
    </row>
    <row r="139" spans="1:11" ht="12.75" customHeight="1" x14ac:dyDescent="0.2">
      <c r="A139" s="100" t="s">
        <v>193</v>
      </c>
      <c r="B139" s="100" t="s">
        <v>128</v>
      </c>
      <c r="C139" s="101">
        <v>2.0859999999999999</v>
      </c>
      <c r="D139" s="101">
        <v>0.05</v>
      </c>
      <c r="E139" s="101">
        <v>-0.2</v>
      </c>
      <c r="F139" s="101">
        <v>-0.18</v>
      </c>
      <c r="G139" s="101">
        <v>-0.14000000000000001</v>
      </c>
      <c r="H139" s="101">
        <v>-0.12</v>
      </c>
      <c r="I139" s="101">
        <v>-0.1</v>
      </c>
      <c r="J139" s="102" t="s">
        <v>194</v>
      </c>
      <c r="K139" s="102" t="s">
        <v>195</v>
      </c>
    </row>
    <row r="140" spans="1:11" ht="12.75" customHeight="1" x14ac:dyDescent="0.2">
      <c r="A140" s="100" t="s">
        <v>193</v>
      </c>
      <c r="B140" s="100" t="s">
        <v>129</v>
      </c>
      <c r="C140" s="101">
        <v>2.25</v>
      </c>
      <c r="D140" s="101">
        <v>0.1</v>
      </c>
      <c r="E140" s="101">
        <v>-0.15</v>
      </c>
      <c r="F140" s="101">
        <v>-0.15</v>
      </c>
      <c r="G140" s="101">
        <v>-0.13</v>
      </c>
      <c r="H140" s="101">
        <v>-0.11</v>
      </c>
      <c r="I140" s="101">
        <v>-0.1</v>
      </c>
      <c r="J140" s="102" t="s">
        <v>194</v>
      </c>
      <c r="K140" s="102" t="s">
        <v>195</v>
      </c>
    </row>
    <row r="141" spans="1:11" ht="12.75" customHeight="1" x14ac:dyDescent="0.2">
      <c r="A141" s="100" t="s">
        <v>196</v>
      </c>
      <c r="B141" s="100" t="s">
        <v>127</v>
      </c>
      <c r="C141" s="101">
        <v>0.01</v>
      </c>
      <c r="D141" s="101">
        <v>0.01</v>
      </c>
      <c r="E141" s="101">
        <v>0</v>
      </c>
      <c r="F141" s="101">
        <v>0</v>
      </c>
      <c r="G141" s="101">
        <v>0</v>
      </c>
      <c r="H141" s="101">
        <v>0.01</v>
      </c>
      <c r="I141" s="101">
        <v>0.01</v>
      </c>
      <c r="J141" s="102" t="s">
        <v>197</v>
      </c>
      <c r="K141" s="102" t="s">
        <v>198</v>
      </c>
    </row>
    <row r="142" spans="1:11" ht="12.75" customHeight="1" x14ac:dyDescent="0.2">
      <c r="A142" s="100" t="s">
        <v>196</v>
      </c>
      <c r="B142" s="100" t="s">
        <v>128</v>
      </c>
      <c r="C142" s="101">
        <v>0.03</v>
      </c>
      <c r="D142" s="101">
        <v>0.04</v>
      </c>
      <c r="E142" s="101">
        <v>0.03</v>
      </c>
      <c r="F142" s="101">
        <v>0.03</v>
      </c>
      <c r="G142" s="101">
        <v>0.02</v>
      </c>
      <c r="H142" s="101">
        <v>0.02</v>
      </c>
      <c r="I142" s="101">
        <v>0.01</v>
      </c>
      <c r="J142" s="102" t="s">
        <v>197</v>
      </c>
      <c r="K142" s="102" t="s">
        <v>198</v>
      </c>
    </row>
    <row r="143" spans="1:11" ht="12.75" customHeight="1" x14ac:dyDescent="0.2">
      <c r="A143" s="100" t="s">
        <v>196</v>
      </c>
      <c r="B143" s="100" t="s">
        <v>129</v>
      </c>
      <c r="C143" s="101">
        <v>0.04</v>
      </c>
      <c r="D143" s="101">
        <v>0.05</v>
      </c>
      <c r="E143" s="101">
        <v>0.05</v>
      </c>
      <c r="F143" s="101">
        <v>0.04</v>
      </c>
      <c r="G143" s="101">
        <v>0.03</v>
      </c>
      <c r="H143" s="101">
        <v>0.02</v>
      </c>
      <c r="I143" s="101">
        <v>0.02</v>
      </c>
      <c r="J143" s="102" t="s">
        <v>197</v>
      </c>
      <c r="K143" s="102" t="s">
        <v>198</v>
      </c>
    </row>
    <row r="144" spans="1:11" ht="12.75" customHeight="1" x14ac:dyDescent="0.2">
      <c r="A144" s="100" t="s">
        <v>199</v>
      </c>
      <c r="B144" s="100" t="s">
        <v>127</v>
      </c>
      <c r="C144" s="103">
        <v>152</v>
      </c>
      <c r="D144" s="103">
        <v>145</v>
      </c>
      <c r="E144" s="103">
        <v>140</v>
      </c>
      <c r="F144" s="103">
        <v>138</v>
      </c>
      <c r="G144" s="103">
        <v>136</v>
      </c>
      <c r="H144" s="103">
        <v>135</v>
      </c>
      <c r="I144" s="103">
        <v>134</v>
      </c>
      <c r="J144" s="102" t="s">
        <v>200</v>
      </c>
      <c r="K144" s="102" t="s">
        <v>201</v>
      </c>
    </row>
    <row r="145" spans="1:11" ht="12.75" customHeight="1" x14ac:dyDescent="0.2">
      <c r="A145" s="100" t="s">
        <v>199</v>
      </c>
      <c r="B145" s="100" t="s">
        <v>128</v>
      </c>
      <c r="C145" s="103">
        <v>156</v>
      </c>
      <c r="D145" s="103">
        <v>152</v>
      </c>
      <c r="E145" s="103">
        <v>149</v>
      </c>
      <c r="F145" s="103">
        <v>147</v>
      </c>
      <c r="G145" s="103">
        <v>145</v>
      </c>
      <c r="H145" s="103">
        <v>143</v>
      </c>
      <c r="I145" s="103">
        <v>142</v>
      </c>
      <c r="J145" s="102" t="s">
        <v>200</v>
      </c>
      <c r="K145" s="102" t="s">
        <v>201</v>
      </c>
    </row>
    <row r="146" spans="1:11" ht="12.75" customHeight="1" x14ac:dyDescent="0.2">
      <c r="A146" s="100" t="s">
        <v>199</v>
      </c>
      <c r="B146" s="100" t="s">
        <v>129</v>
      </c>
      <c r="C146" s="103">
        <v>160</v>
      </c>
      <c r="D146" s="103">
        <v>160</v>
      </c>
      <c r="E146" s="103">
        <v>158</v>
      </c>
      <c r="F146" s="103">
        <v>156</v>
      </c>
      <c r="G146" s="103">
        <v>155</v>
      </c>
      <c r="H146" s="103">
        <v>154</v>
      </c>
      <c r="I146" s="103">
        <v>153</v>
      </c>
      <c r="J146" s="102" t="s">
        <v>200</v>
      </c>
      <c r="K146" s="102" t="s">
        <v>201</v>
      </c>
    </row>
    <row r="147" spans="1:11" ht="12.75" customHeight="1" x14ac:dyDescent="0.2">
      <c r="A147" s="100" t="s">
        <v>202</v>
      </c>
      <c r="B147" s="100" t="s">
        <v>127</v>
      </c>
      <c r="C147" s="104">
        <f>Assumptions!C34</f>
        <v>1.3333333333333419E-2</v>
      </c>
      <c r="D147" s="104">
        <f>Assumptions!D34</f>
        <v>-4.6052631578947345E-2</v>
      </c>
      <c r="E147" s="104">
        <f>Assumptions!E34</f>
        <v>-3.4482758620689613E-2</v>
      </c>
      <c r="F147" s="104">
        <f>Assumptions!F34</f>
        <v>-1.4285714285714235E-2</v>
      </c>
      <c r="G147" s="104">
        <f>Assumptions!G34</f>
        <v>-1.4492753623188359E-2</v>
      </c>
      <c r="H147" s="104">
        <f>Assumptions!H34</f>
        <v>-7.3529411764705621E-3</v>
      </c>
      <c r="I147" s="104">
        <f>Assumptions!I34</f>
        <v>-7.4074074074074181E-3</v>
      </c>
      <c r="J147" s="102" t="s">
        <v>203</v>
      </c>
      <c r="K147" s="102" t="s">
        <v>204</v>
      </c>
    </row>
    <row r="148" spans="1:11" ht="12.75" customHeight="1" x14ac:dyDescent="0.2">
      <c r="A148" s="100" t="s">
        <v>202</v>
      </c>
      <c r="B148" s="100" t="s">
        <v>128</v>
      </c>
      <c r="C148" s="104">
        <f>Assumptions!C46</f>
        <v>4.0000000000000036E-2</v>
      </c>
      <c r="D148" s="104">
        <f>Assumptions!D46</f>
        <v>-2.5641025641025661E-2</v>
      </c>
      <c r="E148" s="104">
        <f>Assumptions!E46</f>
        <v>-1.9736842105263164E-2</v>
      </c>
      <c r="F148" s="104">
        <f>Assumptions!F46</f>
        <v>-1.3422818791946289E-2</v>
      </c>
      <c r="G148" s="104">
        <f>Assumptions!G46</f>
        <v>-1.3605442176870763E-2</v>
      </c>
      <c r="H148" s="104">
        <f>Assumptions!H46</f>
        <v>-1.379310344827589E-2</v>
      </c>
      <c r="I148" s="104">
        <f>Assumptions!I46</f>
        <v>-6.9930069930069783E-3</v>
      </c>
      <c r="J148" s="102" t="s">
        <v>203</v>
      </c>
      <c r="K148" s="102" t="s">
        <v>204</v>
      </c>
    </row>
    <row r="149" spans="1:11" ht="12.75" customHeight="1" x14ac:dyDescent="0.2">
      <c r="A149" s="100" t="s">
        <v>202</v>
      </c>
      <c r="B149" s="100" t="s">
        <v>129</v>
      </c>
      <c r="C149" s="104">
        <f>Assumptions!C58</f>
        <v>6.6666666666666652E-2</v>
      </c>
      <c r="D149" s="104">
        <f>Assumptions!D58</f>
        <v>0</v>
      </c>
      <c r="E149" s="104">
        <f>Assumptions!E58</f>
        <v>-1.2499999999999956E-2</v>
      </c>
      <c r="F149" s="104">
        <f>Assumptions!F58</f>
        <v>-1.2658227848101222E-2</v>
      </c>
      <c r="G149" s="104">
        <f>Assumptions!G58</f>
        <v>-6.4102564102563875E-3</v>
      </c>
      <c r="H149" s="104">
        <f>Assumptions!H58</f>
        <v>-6.4516129032258229E-3</v>
      </c>
      <c r="I149" s="104">
        <f>Assumptions!I58</f>
        <v>-6.4935064935064402E-3</v>
      </c>
      <c r="J149" s="102" t="s">
        <v>203</v>
      </c>
      <c r="K149" s="102" t="s">
        <v>204</v>
      </c>
    </row>
    <row r="150" spans="1:11" ht="12.75" customHeight="1" x14ac:dyDescent="0.2">
      <c r="A150" s="100" t="s">
        <v>36</v>
      </c>
      <c r="B150" s="100" t="s">
        <v>127</v>
      </c>
      <c r="C150" s="101">
        <v>0.7</v>
      </c>
      <c r="D150" s="101">
        <v>0.52</v>
      </c>
      <c r="E150" s="101">
        <v>0.28000000000000003</v>
      </c>
      <c r="F150" s="101">
        <v>0.24</v>
      </c>
      <c r="G150" s="101">
        <v>0.28000000000000003</v>
      </c>
      <c r="H150" s="101">
        <v>0.3</v>
      </c>
      <c r="I150" s="101">
        <v>0.31</v>
      </c>
      <c r="J150" s="102" t="s">
        <v>205</v>
      </c>
      <c r="K150" s="102" t="s">
        <v>206</v>
      </c>
    </row>
    <row r="151" spans="1:11" ht="12.75" customHeight="1" x14ac:dyDescent="0.2">
      <c r="A151" s="100" t="s">
        <v>36</v>
      </c>
      <c r="B151" s="100" t="s">
        <v>128</v>
      </c>
      <c r="C151" s="101">
        <v>0.80900000000000005</v>
      </c>
      <c r="D151" s="101">
        <v>0.68</v>
      </c>
      <c r="E151" s="101">
        <v>0.46</v>
      </c>
      <c r="F151" s="101">
        <v>0.39</v>
      </c>
      <c r="G151" s="101">
        <v>0.39</v>
      </c>
      <c r="H151" s="101">
        <v>0.4</v>
      </c>
      <c r="I151" s="101">
        <v>0.4</v>
      </c>
      <c r="J151" s="102" t="s">
        <v>205</v>
      </c>
      <c r="K151" s="102" t="s">
        <v>206</v>
      </c>
    </row>
    <row r="152" spans="1:11" ht="12.75" customHeight="1" x14ac:dyDescent="0.2">
      <c r="A152" s="100" t="s">
        <v>36</v>
      </c>
      <c r="B152" s="100" t="s">
        <v>129</v>
      </c>
      <c r="C152" s="101">
        <v>0.84</v>
      </c>
      <c r="D152" s="101">
        <v>0.8</v>
      </c>
      <c r="E152" s="101">
        <v>0.68</v>
      </c>
      <c r="F152" s="101">
        <v>0.57999999999999996</v>
      </c>
      <c r="G152" s="101">
        <v>0.52</v>
      </c>
      <c r="H152" s="101">
        <v>0.48</v>
      </c>
      <c r="I152" s="101">
        <v>0.46</v>
      </c>
      <c r="J152" s="102" t="s">
        <v>205</v>
      </c>
      <c r="K152" s="102" t="s">
        <v>206</v>
      </c>
    </row>
    <row r="153" spans="1:11" ht="12.75" customHeight="1" x14ac:dyDescent="0.2">
      <c r="A153" s="100" t="s">
        <v>207</v>
      </c>
      <c r="B153" s="100" t="s">
        <v>127</v>
      </c>
      <c r="C153" s="101">
        <v>0.05</v>
      </c>
      <c r="D153" s="101">
        <v>0.05</v>
      </c>
      <c r="E153" s="101">
        <v>0.06</v>
      </c>
      <c r="F153" s="101">
        <v>0.06</v>
      </c>
      <c r="G153" s="101">
        <v>0.06</v>
      </c>
      <c r="H153" s="101">
        <v>0.06</v>
      </c>
      <c r="I153" s="101">
        <v>0.06</v>
      </c>
      <c r="J153" s="102" t="s">
        <v>208</v>
      </c>
      <c r="K153" s="102" t="s">
        <v>209</v>
      </c>
    </row>
    <row r="154" spans="1:11" ht="12.75" customHeight="1" x14ac:dyDescent="0.2">
      <c r="A154" s="100" t="s">
        <v>207</v>
      </c>
      <c r="B154" s="100" t="s">
        <v>128</v>
      </c>
      <c r="C154" s="101">
        <v>0.04</v>
      </c>
      <c r="D154" s="101">
        <v>3.5000000000000003E-2</v>
      </c>
      <c r="E154" s="101">
        <v>0.04</v>
      </c>
      <c r="F154" s="101">
        <v>4.4999999999999998E-2</v>
      </c>
      <c r="G154" s="101">
        <v>4.4999999999999998E-2</v>
      </c>
      <c r="H154" s="101">
        <v>4.4999999999999998E-2</v>
      </c>
      <c r="I154" s="101">
        <v>4.4999999999999998E-2</v>
      </c>
      <c r="J154" s="102" t="s">
        <v>208</v>
      </c>
      <c r="K154" s="102" t="s">
        <v>209</v>
      </c>
    </row>
    <row r="155" spans="1:11" ht="12.75" customHeight="1" x14ac:dyDescent="0.2">
      <c r="A155" s="100" t="s">
        <v>207</v>
      </c>
      <c r="B155" s="100" t="s">
        <v>129</v>
      </c>
      <c r="C155" s="101">
        <v>3.7999999999999999E-2</v>
      </c>
      <c r="D155" s="101">
        <v>3.2000000000000001E-2</v>
      </c>
      <c r="E155" s="101">
        <v>3.2000000000000001E-2</v>
      </c>
      <c r="F155" s="101">
        <v>3.5000000000000003E-2</v>
      </c>
      <c r="G155" s="101">
        <v>3.7999999999999999E-2</v>
      </c>
      <c r="H155" s="101">
        <v>0.04</v>
      </c>
      <c r="I155" s="101">
        <v>0.04</v>
      </c>
      <c r="J155" s="102" t="s">
        <v>208</v>
      </c>
      <c r="K155" s="102" t="s">
        <v>209</v>
      </c>
    </row>
    <row r="156" spans="1:11" ht="12.75" customHeight="1" x14ac:dyDescent="0.2">
      <c r="A156" s="100" t="s">
        <v>210</v>
      </c>
      <c r="B156" s="100" t="s">
        <v>127</v>
      </c>
      <c r="C156" s="105">
        <v>450</v>
      </c>
      <c r="D156" s="105">
        <v>420</v>
      </c>
      <c r="E156" s="105">
        <v>400</v>
      </c>
      <c r="F156" s="105">
        <v>400</v>
      </c>
      <c r="G156" s="105">
        <v>425</v>
      </c>
      <c r="H156" s="105">
        <v>450</v>
      </c>
      <c r="I156" s="105">
        <v>475</v>
      </c>
      <c r="J156" s="102" t="s">
        <v>211</v>
      </c>
      <c r="K156" s="102" t="s">
        <v>212</v>
      </c>
    </row>
    <row r="157" spans="1:11" ht="12.75" customHeight="1" x14ac:dyDescent="0.2">
      <c r="A157" s="100" t="s">
        <v>210</v>
      </c>
      <c r="B157" s="100" t="s">
        <v>128</v>
      </c>
      <c r="C157" s="105">
        <v>450</v>
      </c>
      <c r="D157" s="105">
        <v>480</v>
      </c>
      <c r="E157" s="105">
        <v>480</v>
      </c>
      <c r="F157" s="105">
        <v>500</v>
      </c>
      <c r="G157" s="105">
        <v>525</v>
      </c>
      <c r="H157" s="105">
        <v>550</v>
      </c>
      <c r="I157" s="105">
        <v>575</v>
      </c>
      <c r="J157" s="102" t="s">
        <v>211</v>
      </c>
      <c r="K157" s="102" t="s">
        <v>212</v>
      </c>
    </row>
    <row r="158" spans="1:11" ht="12.75" customHeight="1" x14ac:dyDescent="0.2">
      <c r="A158" s="100" t="s">
        <v>210</v>
      </c>
      <c r="B158" s="100" t="s">
        <v>129</v>
      </c>
      <c r="C158" s="105">
        <v>450</v>
      </c>
      <c r="D158" s="105">
        <v>550</v>
      </c>
      <c r="E158" s="105">
        <v>650</v>
      </c>
      <c r="F158" s="105">
        <v>700</v>
      </c>
      <c r="G158" s="105">
        <v>700</v>
      </c>
      <c r="H158" s="105">
        <v>700</v>
      </c>
      <c r="I158" s="105">
        <v>700</v>
      </c>
      <c r="J158" s="102" t="s">
        <v>211</v>
      </c>
      <c r="K158" s="102" t="s">
        <v>212</v>
      </c>
    </row>
    <row r="159" spans="1:11" ht="12.75" customHeight="1" x14ac:dyDescent="0.2">
      <c r="A159" s="100" t="s">
        <v>213</v>
      </c>
      <c r="B159" s="100" t="s">
        <v>127</v>
      </c>
      <c r="C159" s="105">
        <v>55</v>
      </c>
      <c r="D159" s="105">
        <v>50</v>
      </c>
      <c r="E159" s="105">
        <v>45</v>
      </c>
      <c r="F159" s="105">
        <v>35</v>
      </c>
      <c r="G159" s="105">
        <v>25</v>
      </c>
      <c r="H159" s="105">
        <v>15</v>
      </c>
      <c r="I159" s="105">
        <v>10</v>
      </c>
      <c r="J159" s="102" t="s">
        <v>214</v>
      </c>
      <c r="K159" s="102" t="s">
        <v>215</v>
      </c>
    </row>
    <row r="160" spans="1:11" ht="12.75" customHeight="1" x14ac:dyDescent="0.2">
      <c r="A160" s="100" t="s">
        <v>213</v>
      </c>
      <c r="B160" s="100" t="s">
        <v>128</v>
      </c>
      <c r="C160" s="105">
        <v>55</v>
      </c>
      <c r="D160" s="105">
        <v>55</v>
      </c>
      <c r="E160" s="105">
        <v>50</v>
      </c>
      <c r="F160" s="105">
        <v>40</v>
      </c>
      <c r="G160" s="105">
        <v>30</v>
      </c>
      <c r="H160" s="105">
        <v>20</v>
      </c>
      <c r="I160" s="105">
        <v>15</v>
      </c>
      <c r="J160" s="102" t="s">
        <v>214</v>
      </c>
      <c r="K160" s="102" t="s">
        <v>215</v>
      </c>
    </row>
    <row r="161" spans="1:11" ht="12.75" customHeight="1" x14ac:dyDescent="0.2">
      <c r="A161" s="100" t="s">
        <v>213</v>
      </c>
      <c r="B161" s="100" t="s">
        <v>129</v>
      </c>
      <c r="C161" s="105">
        <v>55</v>
      </c>
      <c r="D161" s="105">
        <v>60</v>
      </c>
      <c r="E161" s="105">
        <v>65</v>
      </c>
      <c r="F161" s="105">
        <v>60</v>
      </c>
      <c r="G161" s="105">
        <v>50</v>
      </c>
      <c r="H161" s="105">
        <v>40</v>
      </c>
      <c r="I161" s="105">
        <v>30</v>
      </c>
      <c r="J161" s="102" t="s">
        <v>214</v>
      </c>
      <c r="K161" s="102" t="s">
        <v>215</v>
      </c>
    </row>
    <row r="162" spans="1:11" ht="12.75" customHeight="1" x14ac:dyDescent="0.2">
      <c r="A162" s="100" t="s">
        <v>216</v>
      </c>
      <c r="B162" s="100" t="s">
        <v>127</v>
      </c>
      <c r="C162" s="101">
        <v>0.14000000000000001</v>
      </c>
      <c r="D162" s="101">
        <v>0.14000000000000001</v>
      </c>
      <c r="E162" s="101">
        <v>0.13</v>
      </c>
      <c r="F162" s="101">
        <v>0.13</v>
      </c>
      <c r="G162" s="101">
        <v>0.12</v>
      </c>
      <c r="H162" s="101">
        <v>0.12</v>
      </c>
      <c r="I162" s="101">
        <v>0.12</v>
      </c>
      <c r="J162" s="102" t="s">
        <v>217</v>
      </c>
      <c r="K162" s="102" t="s">
        <v>218</v>
      </c>
    </row>
    <row r="163" spans="1:11" ht="12.75" customHeight="1" x14ac:dyDescent="0.2">
      <c r="A163" s="100" t="s">
        <v>216</v>
      </c>
      <c r="B163" s="100" t="s">
        <v>128</v>
      </c>
      <c r="C163" s="101">
        <v>0.12</v>
      </c>
      <c r="D163" s="101">
        <v>0.115</v>
      </c>
      <c r="E163" s="101">
        <v>0.11</v>
      </c>
      <c r="F163" s="101">
        <v>0.11</v>
      </c>
      <c r="G163" s="101">
        <v>0.105</v>
      </c>
      <c r="H163" s="101">
        <v>0.105</v>
      </c>
      <c r="I163" s="101">
        <v>0.105</v>
      </c>
      <c r="J163" s="102" t="s">
        <v>217</v>
      </c>
      <c r="K163" s="102" t="s">
        <v>218</v>
      </c>
    </row>
    <row r="164" spans="1:11" ht="12.75" customHeight="1" x14ac:dyDescent="0.2">
      <c r="A164" s="100" t="s">
        <v>216</v>
      </c>
      <c r="B164" s="100" t="s">
        <v>129</v>
      </c>
      <c r="C164" s="101">
        <v>0.11</v>
      </c>
      <c r="D164" s="101">
        <v>0.105</v>
      </c>
      <c r="E164" s="101">
        <v>0.1</v>
      </c>
      <c r="F164" s="101">
        <v>0.1</v>
      </c>
      <c r="G164" s="101">
        <v>9.5000000000000001E-2</v>
      </c>
      <c r="H164" s="101">
        <v>9.5000000000000001E-2</v>
      </c>
      <c r="I164" s="101">
        <v>9.5000000000000001E-2</v>
      </c>
      <c r="J164" s="102" t="s">
        <v>217</v>
      </c>
      <c r="K164" s="102" t="s">
        <v>218</v>
      </c>
    </row>
    <row r="165" spans="1:11" ht="12.75" customHeight="1" x14ac:dyDescent="0.2">
      <c r="A165" s="100" t="s">
        <v>109</v>
      </c>
      <c r="B165" s="100" t="s">
        <v>127</v>
      </c>
      <c r="C165" s="101">
        <v>0.24</v>
      </c>
      <c r="D165" s="101">
        <v>0.25</v>
      </c>
      <c r="E165" s="101">
        <v>0.27</v>
      </c>
      <c r="F165" s="101">
        <v>0.28000000000000003</v>
      </c>
      <c r="G165" s="101">
        <v>0.28000000000000003</v>
      </c>
      <c r="H165" s="101">
        <v>0.28000000000000003</v>
      </c>
      <c r="I165" s="101">
        <v>0.28000000000000003</v>
      </c>
      <c r="J165" s="102" t="s">
        <v>219</v>
      </c>
      <c r="K165" s="102" t="s">
        <v>220</v>
      </c>
    </row>
    <row r="166" spans="1:11" ht="12.75" customHeight="1" x14ac:dyDescent="0.2">
      <c r="A166" s="100" t="s">
        <v>109</v>
      </c>
      <c r="B166" s="100" t="s">
        <v>128</v>
      </c>
      <c r="C166" s="101">
        <v>0.26</v>
      </c>
      <c r="D166" s="101">
        <v>0.27</v>
      </c>
      <c r="E166" s="101">
        <v>0.28000000000000003</v>
      </c>
      <c r="F166" s="101">
        <v>0.28000000000000003</v>
      </c>
      <c r="G166" s="101">
        <v>0.28000000000000003</v>
      </c>
      <c r="H166" s="101">
        <v>0.28000000000000003</v>
      </c>
      <c r="I166" s="101">
        <v>0.28000000000000003</v>
      </c>
      <c r="J166" s="102" t="s">
        <v>219</v>
      </c>
      <c r="K166" s="102" t="s">
        <v>220</v>
      </c>
    </row>
    <row r="167" spans="1:11" ht="12.75" customHeight="1" x14ac:dyDescent="0.2">
      <c r="A167" s="100" t="s">
        <v>109</v>
      </c>
      <c r="B167" s="100" t="s">
        <v>129</v>
      </c>
      <c r="C167" s="101">
        <v>0.27</v>
      </c>
      <c r="D167" s="101">
        <v>0.28000000000000003</v>
      </c>
      <c r="E167" s="101">
        <v>0.28000000000000003</v>
      </c>
      <c r="F167" s="101">
        <v>0.28000000000000003</v>
      </c>
      <c r="G167" s="101">
        <v>0.28000000000000003</v>
      </c>
      <c r="H167" s="101">
        <v>0.28000000000000003</v>
      </c>
      <c r="I167" s="101">
        <v>0.28000000000000003</v>
      </c>
      <c r="J167" s="102" t="s">
        <v>219</v>
      </c>
      <c r="K167" s="102" t="s">
        <v>220</v>
      </c>
    </row>
    <row r="168" spans="1:11" ht="12.75" customHeight="1" x14ac:dyDescent="0.2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</row>
    <row r="169" spans="1:11" ht="12.75" customHeight="1" x14ac:dyDescent="0.2">
      <c r="A169" s="108" t="s">
        <v>221</v>
      </c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</row>
    <row r="170" spans="1:11" ht="12.75" customHeight="1" x14ac:dyDescent="0.2">
      <c r="A170" s="97" t="s">
        <v>222</v>
      </c>
      <c r="B170" s="94" t="s">
        <v>223</v>
      </c>
      <c r="C170" s="97"/>
      <c r="D170" s="97"/>
      <c r="E170" s="97"/>
      <c r="F170" s="97"/>
      <c r="G170" s="97"/>
      <c r="H170" s="97"/>
      <c r="I170" s="97"/>
      <c r="J170" s="97"/>
      <c r="K170" s="97"/>
    </row>
    <row r="171" spans="1:11" ht="12.75" customHeight="1" x14ac:dyDescent="0.2">
      <c r="A171" s="97" t="s">
        <v>224</v>
      </c>
      <c r="B171" s="94" t="s">
        <v>225</v>
      </c>
      <c r="C171" s="97"/>
      <c r="D171" s="97"/>
      <c r="E171" s="97"/>
      <c r="F171" s="97"/>
      <c r="G171" s="97"/>
      <c r="H171" s="97"/>
      <c r="I171" s="97"/>
      <c r="J171" s="97"/>
      <c r="K171" s="97"/>
    </row>
    <row r="172" spans="1:11" ht="12.75" customHeight="1" x14ac:dyDescent="0.2">
      <c r="A172" s="97" t="s">
        <v>226</v>
      </c>
      <c r="B172" s="94" t="s">
        <v>227</v>
      </c>
      <c r="C172" s="97"/>
      <c r="D172" s="97"/>
      <c r="E172" s="97"/>
      <c r="F172" s="97"/>
      <c r="G172" s="97"/>
      <c r="H172" s="97"/>
      <c r="I172" s="97"/>
      <c r="J172" s="97"/>
      <c r="K172" s="97"/>
    </row>
    <row r="173" spans="1:11" ht="12.75" customHeight="1" x14ac:dyDescent="0.2">
      <c r="A173" s="97" t="s">
        <v>228</v>
      </c>
      <c r="B173" s="94" t="s">
        <v>229</v>
      </c>
      <c r="C173" s="97"/>
      <c r="D173" s="97"/>
      <c r="E173" s="97"/>
      <c r="F173" s="97"/>
      <c r="G173" s="97"/>
      <c r="H173" s="97"/>
      <c r="I173" s="97"/>
      <c r="J173" s="97"/>
      <c r="K173" s="97"/>
    </row>
    <row r="174" spans="1:11" ht="12.75" customHeight="1" x14ac:dyDescent="0.2">
      <c r="A174" s="97" t="s">
        <v>230</v>
      </c>
      <c r="B174" s="94" t="s">
        <v>231</v>
      </c>
      <c r="C174" s="97"/>
      <c r="D174" s="97"/>
      <c r="E174" s="97"/>
      <c r="F174" s="97"/>
      <c r="G174" s="97"/>
      <c r="H174" s="97"/>
      <c r="I174" s="97"/>
      <c r="J174" s="97"/>
      <c r="K174" s="97"/>
    </row>
    <row r="175" spans="1:11" ht="12.75" customHeight="1" x14ac:dyDescent="0.2">
      <c r="A175" s="97" t="s">
        <v>232</v>
      </c>
      <c r="B175" s="94" t="s">
        <v>233</v>
      </c>
      <c r="C175" s="97"/>
      <c r="D175" s="97"/>
      <c r="E175" s="97"/>
      <c r="F175" s="97"/>
      <c r="G175" s="97"/>
      <c r="H175" s="97"/>
      <c r="I175" s="97"/>
      <c r="J175" s="97"/>
      <c r="K175" s="97"/>
    </row>
    <row r="176" spans="1:11" ht="12.75" customHeight="1" x14ac:dyDescent="0.2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</row>
    <row r="177" spans="1:12" ht="12.75" customHeight="1" x14ac:dyDescent="0.2">
      <c r="A177" s="16" t="s">
        <v>234</v>
      </c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</row>
    <row r="178" spans="1:12" ht="12.75" customHeight="1" x14ac:dyDescent="0.25">
      <c r="C178" s="25" t="s">
        <v>235</v>
      </c>
      <c r="D178" s="25" t="s">
        <v>236</v>
      </c>
      <c r="E178" s="25" t="s">
        <v>237</v>
      </c>
    </row>
    <row r="179" spans="1:12" ht="12.75" customHeight="1" x14ac:dyDescent="0.25">
      <c r="A179" s="58" t="s">
        <v>34</v>
      </c>
      <c r="C179" s="59">
        <v>9272.5</v>
      </c>
      <c r="D179" s="27">
        <f>'Operating Model'!F7</f>
        <v>9272.9502627840011</v>
      </c>
      <c r="E179" s="24">
        <f>D179/C179-1</f>
        <v>4.8558941385890009E-5</v>
      </c>
    </row>
    <row r="180" spans="1:12" ht="12.75" customHeight="1" x14ac:dyDescent="0.25">
      <c r="A180" s="58" t="s">
        <v>37</v>
      </c>
      <c r="C180" s="59">
        <v>7180.1</v>
      </c>
      <c r="D180" s="27">
        <f>'Operating Model'!F13</f>
        <v>7182.1147625922567</v>
      </c>
      <c r="E180" s="24">
        <f>D180/C180-1</f>
        <v>2.8060369524895989E-4</v>
      </c>
    </row>
    <row r="181" spans="1:12" ht="12.75" customHeight="1" x14ac:dyDescent="0.25">
      <c r="A181" s="58" t="s">
        <v>238</v>
      </c>
      <c r="C181" s="59">
        <v>5055.7</v>
      </c>
      <c r="D181" s="27">
        <f>'Operating Model'!F24</f>
        <v>5298.3795483182703</v>
      </c>
      <c r="E181" s="24">
        <f>D181/C181-1</f>
        <v>4.8001176556811131E-2</v>
      </c>
    </row>
    <row r="182" spans="1:12" ht="12.75" customHeight="1" x14ac:dyDescent="0.25">
      <c r="A182" s="58" t="s">
        <v>239</v>
      </c>
      <c r="C182" s="60">
        <f>C180/C179</f>
        <v>0.77434348881100035</v>
      </c>
      <c r="D182" s="24">
        <f>'Operating Model'!F14</f>
        <v>0.77452316243050601</v>
      </c>
      <c r="E182" s="61">
        <f>D182-C182</f>
        <v>1.796736195056603E-4</v>
      </c>
    </row>
    <row r="183" spans="1:12" ht="12.75" customHeight="1" x14ac:dyDescent="0.25">
      <c r="A183" s="35" t="s">
        <v>240</v>
      </c>
    </row>
    <row r="184" spans="1:12" ht="12.75" customHeight="1" x14ac:dyDescent="0.25">
      <c r="A184" s="35" t="s">
        <v>241</v>
      </c>
    </row>
    <row r="185" spans="1:12" ht="12.75" customHeight="1" x14ac:dyDescent="0.25"/>
    <row r="186" spans="1:12" x14ac:dyDescent="0.25">
      <c r="A186" s="35" t="s">
        <v>242</v>
      </c>
    </row>
    <row r="191" spans="1:12" ht="15" customHeight="1" x14ac:dyDescent="0.25"/>
    <row r="192" spans="1:1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200" ht="15" customHeight="1" x14ac:dyDescent="0.25"/>
  </sheetData>
  <mergeCells count="2">
    <mergeCell ref="A106:I106"/>
    <mergeCell ref="A169:K169"/>
  </mergeCells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topLeftCell="A94" zoomScaleNormal="100" workbookViewId="0">
      <selection activeCell="A95" sqref="A95"/>
    </sheetView>
  </sheetViews>
  <sheetFormatPr defaultColWidth="8.7109375" defaultRowHeight="15" x14ac:dyDescent="0.25"/>
  <cols>
    <col min="1" max="1" width="46" style="1" customWidth="1"/>
    <col min="2" max="2" width="4" style="1" customWidth="1"/>
    <col min="3" max="6" width="12" style="1" customWidth="1"/>
    <col min="7" max="7" width="2" style="1" customWidth="1"/>
    <col min="8" max="8" width="60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243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244</v>
      </c>
    </row>
    <row r="3" spans="1:14" ht="15" customHeight="1" x14ac:dyDescent="0.25">
      <c r="A3" s="15" t="s">
        <v>16</v>
      </c>
    </row>
    <row r="5" spans="1:14" ht="15" customHeight="1" x14ac:dyDescent="0.25">
      <c r="C5" s="42" t="s">
        <v>245</v>
      </c>
      <c r="D5" s="42" t="s">
        <v>246</v>
      </c>
      <c r="E5" s="42" t="s">
        <v>30</v>
      </c>
      <c r="F5" s="42" t="s">
        <v>247</v>
      </c>
      <c r="H5" s="35" t="s">
        <v>248</v>
      </c>
    </row>
    <row r="6" spans="1:14" ht="15" customHeight="1" x14ac:dyDescent="0.25">
      <c r="A6" s="16" t="s">
        <v>249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15" customHeight="1" x14ac:dyDescent="0.25">
      <c r="A7" s="18" t="s">
        <v>250</v>
      </c>
      <c r="C7" s="26">
        <v>1076.5999999999999</v>
      </c>
      <c r="D7" s="26">
        <v>1706.5</v>
      </c>
      <c r="E7" s="26">
        <v>2337.6</v>
      </c>
      <c r="F7" s="27">
        <f t="shared" ref="F7:F33" si="0">E7</f>
        <v>2337.6</v>
      </c>
    </row>
    <row r="8" spans="1:14" ht="15" customHeight="1" x14ac:dyDescent="0.25">
      <c r="A8" s="20" t="s">
        <v>251</v>
      </c>
      <c r="C8" s="26">
        <v>516.4</v>
      </c>
      <c r="D8" s="26">
        <v>991.1</v>
      </c>
      <c r="E8" s="26">
        <v>1362.6</v>
      </c>
      <c r="F8" s="27">
        <f t="shared" si="0"/>
        <v>1362.6</v>
      </c>
    </row>
    <row r="9" spans="1:14" ht="15" customHeight="1" x14ac:dyDescent="0.25">
      <c r="A9" s="20" t="s">
        <v>252</v>
      </c>
      <c r="C9" s="26">
        <v>374.3</v>
      </c>
      <c r="D9" s="26">
        <v>501.1</v>
      </c>
      <c r="E9" s="26">
        <v>760</v>
      </c>
      <c r="F9" s="27">
        <f t="shared" si="0"/>
        <v>760</v>
      </c>
    </row>
    <row r="10" spans="1:14" ht="15" customHeight="1" x14ac:dyDescent="0.25">
      <c r="A10" s="20" t="s">
        <v>253</v>
      </c>
      <c r="C10" s="26">
        <v>185.9</v>
      </c>
      <c r="D10" s="26">
        <v>214.2</v>
      </c>
      <c r="E10" s="26">
        <v>215</v>
      </c>
      <c r="F10" s="27">
        <f t="shared" si="0"/>
        <v>215</v>
      </c>
    </row>
    <row r="11" spans="1:14" ht="15" customHeight="1" x14ac:dyDescent="0.25">
      <c r="A11" s="20" t="s">
        <v>254</v>
      </c>
      <c r="C11" s="26">
        <v>1205.9000000000001</v>
      </c>
      <c r="D11" s="26">
        <v>1137</v>
      </c>
      <c r="E11" s="26">
        <v>1324.7</v>
      </c>
      <c r="F11" s="27">
        <f t="shared" si="0"/>
        <v>1324.7</v>
      </c>
    </row>
    <row r="12" spans="1:14" ht="15" customHeight="1" x14ac:dyDescent="0.25">
      <c r="A12" s="20" t="s">
        <v>255</v>
      </c>
      <c r="C12" s="27">
        <f>C7-C11</f>
        <v>-129.30000000000018</v>
      </c>
      <c r="D12" s="27">
        <f>D7-D11</f>
        <v>569.5</v>
      </c>
      <c r="E12" s="27">
        <f>E7-E11</f>
        <v>1012.8999999999999</v>
      </c>
      <c r="F12" s="27">
        <f t="shared" si="0"/>
        <v>1012.8999999999999</v>
      </c>
    </row>
    <row r="13" spans="1:14" ht="15" customHeight="1" x14ac:dyDescent="0.25">
      <c r="A13" s="20" t="s">
        <v>256</v>
      </c>
      <c r="C13" s="24">
        <f>C12/C7</f>
        <v>-0.12010031580902861</v>
      </c>
      <c r="D13" s="24">
        <f>D12/D7</f>
        <v>0.33372399648403167</v>
      </c>
      <c r="E13" s="24">
        <f>E12/E7</f>
        <v>0.43330766598220394</v>
      </c>
      <c r="F13" s="24">
        <f t="shared" si="0"/>
        <v>0.43330766598220394</v>
      </c>
    </row>
    <row r="14" spans="1:14" ht="15" customHeight="1" x14ac:dyDescent="0.25">
      <c r="A14" s="20" t="s">
        <v>257</v>
      </c>
      <c r="C14" s="26">
        <v>128.80000000000001</v>
      </c>
      <c r="D14" s="26">
        <v>127.9</v>
      </c>
      <c r="E14" s="26">
        <v>146.6</v>
      </c>
      <c r="F14" s="27">
        <f t="shared" si="0"/>
        <v>146.6</v>
      </c>
    </row>
    <row r="15" spans="1:14" ht="15" customHeight="1" x14ac:dyDescent="0.25">
      <c r="A15" s="20" t="s">
        <v>258</v>
      </c>
      <c r="D15" s="26">
        <v>132.80000000000001</v>
      </c>
      <c r="E15" s="26">
        <v>141.1</v>
      </c>
      <c r="F15" s="27">
        <f t="shared" si="0"/>
        <v>141.1</v>
      </c>
    </row>
    <row r="16" spans="1:14" ht="15" customHeight="1" x14ac:dyDescent="0.25">
      <c r="A16" s="20" t="s">
        <v>259</v>
      </c>
      <c r="C16" s="26">
        <v>5.4</v>
      </c>
      <c r="D16" s="26">
        <v>10.199999999999999</v>
      </c>
      <c r="E16" s="26">
        <v>4</v>
      </c>
      <c r="F16" s="27">
        <f t="shared" si="0"/>
        <v>4</v>
      </c>
    </row>
    <row r="17" spans="1:6" ht="15" customHeight="1" x14ac:dyDescent="0.25">
      <c r="A17" s="18" t="s">
        <v>260</v>
      </c>
      <c r="C17" s="26">
        <v>-252.7</v>
      </c>
      <c r="D17" s="26">
        <v>451.7</v>
      </c>
      <c r="E17" s="26">
        <v>870.4</v>
      </c>
      <c r="F17" s="27">
        <f t="shared" si="0"/>
        <v>870.4</v>
      </c>
    </row>
    <row r="18" spans="1:6" ht="15" customHeight="1" x14ac:dyDescent="0.25">
      <c r="A18" s="20" t="s">
        <v>239</v>
      </c>
      <c r="C18" s="24">
        <f>C17/C7</f>
        <v>-0.23472041612483746</v>
      </c>
      <c r="D18" s="24">
        <f>D17/D7</f>
        <v>0.26469381775564021</v>
      </c>
      <c r="E18" s="24">
        <f>E17/E7</f>
        <v>0.37234770704996578</v>
      </c>
      <c r="F18" s="24">
        <f t="shared" si="0"/>
        <v>0.37234770704996578</v>
      </c>
    </row>
    <row r="19" spans="1:6" ht="15" customHeight="1" x14ac:dyDescent="0.25">
      <c r="A19" s="20" t="s">
        <v>261</v>
      </c>
      <c r="C19" s="26">
        <v>-254</v>
      </c>
      <c r="D19" s="26">
        <v>453</v>
      </c>
      <c r="E19" s="26">
        <v>876.2</v>
      </c>
      <c r="F19" s="27">
        <f t="shared" si="0"/>
        <v>876.2</v>
      </c>
    </row>
    <row r="20" spans="1:6" ht="15" customHeight="1" x14ac:dyDescent="0.25">
      <c r="A20" s="20" t="s">
        <v>262</v>
      </c>
      <c r="C20" s="26">
        <v>346.1</v>
      </c>
      <c r="D20" s="26">
        <v>312.3</v>
      </c>
      <c r="E20" s="26">
        <v>312.8</v>
      </c>
      <c r="F20" s="27">
        <f t="shared" si="0"/>
        <v>312.8</v>
      </c>
    </row>
    <row r="21" spans="1:6" ht="15" customHeight="1" x14ac:dyDescent="0.25">
      <c r="A21" s="18" t="s">
        <v>263</v>
      </c>
      <c r="C21" s="27">
        <f>C17+C20</f>
        <v>93.400000000000034</v>
      </c>
      <c r="D21" s="27">
        <f>D17+D20</f>
        <v>764</v>
      </c>
      <c r="E21" s="27">
        <f>E17+E20</f>
        <v>1183.2</v>
      </c>
      <c r="F21" s="27">
        <f t="shared" si="0"/>
        <v>1183.2</v>
      </c>
    </row>
    <row r="22" spans="1:6" ht="15" customHeight="1" x14ac:dyDescent="0.25">
      <c r="A22" s="20" t="s">
        <v>36</v>
      </c>
      <c r="C22" s="24">
        <f>C21/C7</f>
        <v>8.6754597807913836E-2</v>
      </c>
      <c r="D22" s="24">
        <f>D21/D7</f>
        <v>0.44769997070026368</v>
      </c>
      <c r="E22" s="24">
        <f>E21/E7</f>
        <v>0.50616016427104726</v>
      </c>
      <c r="F22" s="24">
        <f t="shared" si="0"/>
        <v>0.50616016427104726</v>
      </c>
    </row>
    <row r="23" spans="1:6" ht="15" customHeight="1" x14ac:dyDescent="0.25">
      <c r="A23" s="20" t="s">
        <v>264</v>
      </c>
      <c r="C23" s="26">
        <v>92</v>
      </c>
      <c r="D23" s="26">
        <v>764.1</v>
      </c>
      <c r="E23" s="26">
        <v>1187.9000000000001</v>
      </c>
      <c r="F23" s="27">
        <f t="shared" si="0"/>
        <v>1187.9000000000001</v>
      </c>
    </row>
    <row r="24" spans="1:6" ht="15" customHeight="1" x14ac:dyDescent="0.25">
      <c r="A24" s="20" t="s">
        <v>265</v>
      </c>
      <c r="C24" s="26">
        <v>1.8</v>
      </c>
      <c r="D24" s="26">
        <v>3.7</v>
      </c>
      <c r="E24" s="26">
        <v>9.5</v>
      </c>
      <c r="F24" s="27">
        <f t="shared" si="0"/>
        <v>9.5</v>
      </c>
    </row>
    <row r="25" spans="1:6" ht="15" customHeight="1" x14ac:dyDescent="0.25">
      <c r="A25" s="20" t="s">
        <v>266</v>
      </c>
      <c r="C25" s="26">
        <v>92.7</v>
      </c>
      <c r="D25" s="26">
        <v>85.3</v>
      </c>
      <c r="E25" s="26">
        <v>96.7</v>
      </c>
      <c r="F25" s="27">
        <f t="shared" si="0"/>
        <v>96.7</v>
      </c>
    </row>
    <row r="26" spans="1:6" ht="15" customHeight="1" x14ac:dyDescent="0.25">
      <c r="A26" s="20" t="s">
        <v>267</v>
      </c>
      <c r="C26" s="26">
        <v>0.3</v>
      </c>
      <c r="D26" s="26">
        <v>0.5</v>
      </c>
      <c r="E26" s="26">
        <v>0.9</v>
      </c>
      <c r="F26" s="27">
        <f t="shared" si="0"/>
        <v>0.9</v>
      </c>
    </row>
    <row r="27" spans="1:6" ht="15" customHeight="1" x14ac:dyDescent="0.25">
      <c r="A27" s="20" t="s">
        <v>268</v>
      </c>
      <c r="C27" s="26">
        <v>-343.3</v>
      </c>
      <c r="D27" s="26">
        <v>370.7</v>
      </c>
      <c r="E27" s="26">
        <v>784.1</v>
      </c>
      <c r="F27" s="27">
        <f t="shared" si="0"/>
        <v>784.1</v>
      </c>
    </row>
    <row r="28" spans="1:6" ht="15" customHeight="1" x14ac:dyDescent="0.25">
      <c r="A28" s="20" t="s">
        <v>269</v>
      </c>
      <c r="C28" s="26">
        <v>-99.6</v>
      </c>
      <c r="D28" s="26">
        <v>98.3</v>
      </c>
      <c r="E28" s="26">
        <v>229.6</v>
      </c>
      <c r="F28" s="27">
        <f t="shared" si="0"/>
        <v>229.6</v>
      </c>
    </row>
    <row r="29" spans="1:6" ht="15" customHeight="1" x14ac:dyDescent="0.25">
      <c r="A29" s="20" t="s">
        <v>270</v>
      </c>
      <c r="C29" s="24">
        <f>C28/C27</f>
        <v>0.29012525487911445</v>
      </c>
      <c r="D29" s="24">
        <f>D28/D27</f>
        <v>0.26517399514432155</v>
      </c>
      <c r="E29" s="24">
        <f>E28/E27</f>
        <v>0.29281979339369979</v>
      </c>
      <c r="F29" s="24">
        <f t="shared" si="0"/>
        <v>0.29281979339369979</v>
      </c>
    </row>
    <row r="30" spans="1:6" ht="15" customHeight="1" x14ac:dyDescent="0.25">
      <c r="A30" s="18" t="s">
        <v>271</v>
      </c>
      <c r="C30" s="26">
        <v>-243.7</v>
      </c>
      <c r="D30" s="26">
        <v>272.3</v>
      </c>
      <c r="E30" s="26">
        <v>554.5</v>
      </c>
      <c r="F30" s="27">
        <f t="shared" si="0"/>
        <v>554.5</v>
      </c>
    </row>
    <row r="31" spans="1:6" ht="15" customHeight="1" x14ac:dyDescent="0.25">
      <c r="A31" s="20" t="s">
        <v>272</v>
      </c>
      <c r="C31" s="26">
        <v>-243.7</v>
      </c>
      <c r="D31" s="26">
        <v>272.3</v>
      </c>
      <c r="E31" s="26">
        <v>554.5</v>
      </c>
      <c r="F31" s="27">
        <f t="shared" si="0"/>
        <v>554.5</v>
      </c>
    </row>
    <row r="32" spans="1:6" ht="15" customHeight="1" x14ac:dyDescent="0.25">
      <c r="A32" s="20" t="s">
        <v>38</v>
      </c>
      <c r="C32" s="29">
        <v>-470.97</v>
      </c>
      <c r="D32" s="29">
        <v>519.96</v>
      </c>
      <c r="E32" s="29">
        <v>1024.07</v>
      </c>
      <c r="F32" s="30">
        <f t="shared" si="0"/>
        <v>1024.07</v>
      </c>
    </row>
    <row r="33" spans="1:12" ht="15" customHeight="1" x14ac:dyDescent="0.25">
      <c r="A33" s="20" t="s">
        <v>273</v>
      </c>
      <c r="C33" s="29">
        <v>-470.97</v>
      </c>
      <c r="D33" s="29">
        <v>515.45000000000005</v>
      </c>
      <c r="E33" s="29">
        <v>1009.15</v>
      </c>
      <c r="F33" s="30">
        <f t="shared" si="0"/>
        <v>1009.15</v>
      </c>
    </row>
    <row r="34" spans="1:12" ht="15" customHeight="1" x14ac:dyDescent="0.25">
      <c r="A34" s="35" t="s">
        <v>274</v>
      </c>
    </row>
    <row r="36" spans="1:12" ht="15" customHeight="1" x14ac:dyDescent="0.25">
      <c r="A36" s="16" t="s">
        <v>275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5" customHeight="1" x14ac:dyDescent="0.25">
      <c r="A37" s="20" t="s">
        <v>276</v>
      </c>
      <c r="C37" s="26">
        <v>187.6</v>
      </c>
      <c r="D37" s="26">
        <v>167.9</v>
      </c>
      <c r="E37" s="26">
        <v>470.7</v>
      </c>
      <c r="F37" s="27">
        <f t="shared" ref="F37:F60" si="1">E37</f>
        <v>470.7</v>
      </c>
    </row>
    <row r="38" spans="1:12" ht="15" customHeight="1" x14ac:dyDescent="0.25">
      <c r="A38" s="20" t="s">
        <v>277</v>
      </c>
      <c r="C38" s="26">
        <v>149.80000000000001</v>
      </c>
      <c r="D38" s="26">
        <v>238.6</v>
      </c>
      <c r="E38" s="26">
        <v>660.6</v>
      </c>
      <c r="F38" s="27">
        <f t="shared" si="1"/>
        <v>660.6</v>
      </c>
    </row>
    <row r="39" spans="1:12" ht="15" customHeight="1" x14ac:dyDescent="0.25">
      <c r="A39" s="20" t="s">
        <v>278</v>
      </c>
      <c r="C39" s="26">
        <v>271.8</v>
      </c>
      <c r="D39" s="26">
        <v>352.9</v>
      </c>
      <c r="E39" s="26">
        <v>412.6</v>
      </c>
      <c r="F39" s="27">
        <f t="shared" si="1"/>
        <v>412.6</v>
      </c>
    </row>
    <row r="40" spans="1:12" ht="15" customHeight="1" x14ac:dyDescent="0.25">
      <c r="A40" s="20" t="s">
        <v>279</v>
      </c>
      <c r="C40" s="26">
        <v>42.2</v>
      </c>
      <c r="D40" s="26">
        <v>47.3</v>
      </c>
      <c r="E40" s="26">
        <v>74</v>
      </c>
      <c r="F40" s="27">
        <f t="shared" si="1"/>
        <v>74</v>
      </c>
    </row>
    <row r="41" spans="1:12" ht="15" customHeight="1" x14ac:dyDescent="0.25">
      <c r="A41" s="20" t="s">
        <v>280</v>
      </c>
      <c r="C41" s="26">
        <v>1168.8</v>
      </c>
      <c r="D41" s="26">
        <v>1100.2</v>
      </c>
      <c r="E41" s="26">
        <v>1055.3</v>
      </c>
      <c r="F41" s="27">
        <f t="shared" si="1"/>
        <v>1055.3</v>
      </c>
    </row>
    <row r="42" spans="1:12" ht="15" customHeight="1" x14ac:dyDescent="0.25">
      <c r="A42" s="20" t="s">
        <v>281</v>
      </c>
      <c r="C42" s="26">
        <v>159.69999999999999</v>
      </c>
      <c r="D42" s="26">
        <v>197.1</v>
      </c>
      <c r="E42" s="26">
        <v>178.1</v>
      </c>
      <c r="F42" s="27">
        <f t="shared" si="1"/>
        <v>178.1</v>
      </c>
    </row>
    <row r="43" spans="1:12" ht="15" customHeight="1" x14ac:dyDescent="0.25">
      <c r="A43" s="20" t="s">
        <v>282</v>
      </c>
      <c r="C43" s="26">
        <v>406.7</v>
      </c>
      <c r="D43" s="26">
        <v>405.9</v>
      </c>
      <c r="E43" s="26">
        <v>406.8</v>
      </c>
      <c r="F43" s="27">
        <f t="shared" si="1"/>
        <v>406.8</v>
      </c>
    </row>
    <row r="44" spans="1:12" ht="15" customHeight="1" x14ac:dyDescent="0.25">
      <c r="A44" s="20" t="s">
        <v>283</v>
      </c>
      <c r="C44" s="26">
        <v>6.9</v>
      </c>
      <c r="D44" s="26">
        <v>7.4</v>
      </c>
      <c r="E44" s="26">
        <v>8.1</v>
      </c>
      <c r="F44" s="27">
        <f t="shared" si="1"/>
        <v>8.1</v>
      </c>
    </row>
    <row r="45" spans="1:12" ht="15" customHeight="1" x14ac:dyDescent="0.25">
      <c r="A45" s="20" t="s">
        <v>284</v>
      </c>
      <c r="C45" s="26">
        <v>100.8</v>
      </c>
      <c r="D45" s="26">
        <v>83.2</v>
      </c>
      <c r="E45" s="26">
        <v>246.5</v>
      </c>
      <c r="F45" s="27">
        <f t="shared" si="1"/>
        <v>246.5</v>
      </c>
    </row>
    <row r="46" spans="1:12" ht="15" customHeight="1" x14ac:dyDescent="0.25">
      <c r="A46" s="20" t="s">
        <v>285</v>
      </c>
      <c r="C46" s="26">
        <v>370.7</v>
      </c>
      <c r="D46" s="26">
        <v>319.2</v>
      </c>
      <c r="E46" s="26">
        <v>177.5</v>
      </c>
      <c r="F46" s="27">
        <f t="shared" si="1"/>
        <v>177.5</v>
      </c>
    </row>
    <row r="47" spans="1:12" ht="15" customHeight="1" x14ac:dyDescent="0.25">
      <c r="A47" s="18" t="s">
        <v>286</v>
      </c>
      <c r="C47" s="26">
        <v>2864.9</v>
      </c>
      <c r="D47" s="26">
        <v>2919.7</v>
      </c>
      <c r="E47" s="26">
        <v>3690.1</v>
      </c>
      <c r="F47" s="27">
        <f t="shared" si="1"/>
        <v>3690.1</v>
      </c>
    </row>
    <row r="48" spans="1:12" ht="15" customHeight="1" x14ac:dyDescent="0.25">
      <c r="A48" s="20" t="s">
        <v>287</v>
      </c>
      <c r="C48" s="26">
        <v>512.5</v>
      </c>
      <c r="D48" s="26">
        <v>504</v>
      </c>
      <c r="E48" s="26">
        <v>594.9</v>
      </c>
      <c r="F48" s="27">
        <f t="shared" si="1"/>
        <v>594.9</v>
      </c>
    </row>
    <row r="49" spans="1:12" ht="15" customHeight="1" x14ac:dyDescent="0.25">
      <c r="A49" s="20" t="s">
        <v>288</v>
      </c>
      <c r="C49" s="26">
        <v>1111.3</v>
      </c>
      <c r="D49" s="26">
        <v>777.7</v>
      </c>
      <c r="E49" s="26">
        <v>1047.5999999999999</v>
      </c>
      <c r="F49" s="27">
        <f t="shared" si="1"/>
        <v>1047.5999999999999</v>
      </c>
    </row>
    <row r="50" spans="1:12" ht="15" customHeight="1" x14ac:dyDescent="0.25">
      <c r="A50" s="20" t="s">
        <v>289</v>
      </c>
      <c r="C50" s="26">
        <v>182.9</v>
      </c>
      <c r="D50" s="26">
        <v>221.8</v>
      </c>
      <c r="E50" s="26">
        <v>205.6</v>
      </c>
      <c r="F50" s="27">
        <f t="shared" si="1"/>
        <v>205.6</v>
      </c>
    </row>
    <row r="51" spans="1:12" ht="15" customHeight="1" x14ac:dyDescent="0.25">
      <c r="A51" s="20" t="s">
        <v>290</v>
      </c>
      <c r="C51" s="26">
        <v>344.3</v>
      </c>
      <c r="D51" s="26">
        <v>321.3</v>
      </c>
      <c r="E51" s="26">
        <v>0</v>
      </c>
      <c r="F51" s="27">
        <f t="shared" si="1"/>
        <v>0</v>
      </c>
    </row>
    <row r="52" spans="1:12" ht="15" customHeight="1" x14ac:dyDescent="0.25">
      <c r="A52" s="20" t="s">
        <v>291</v>
      </c>
      <c r="C52" s="26">
        <v>48.5</v>
      </c>
      <c r="D52" s="26">
        <v>46.5</v>
      </c>
      <c r="E52" s="26">
        <v>42.9</v>
      </c>
      <c r="F52" s="27">
        <f t="shared" si="1"/>
        <v>42.9</v>
      </c>
    </row>
    <row r="53" spans="1:12" ht="15" customHeight="1" x14ac:dyDescent="0.25">
      <c r="A53" s="20" t="s">
        <v>292</v>
      </c>
      <c r="C53" s="26">
        <v>215.7</v>
      </c>
      <c r="D53" s="26">
        <v>310.7</v>
      </c>
      <c r="E53" s="26">
        <v>400</v>
      </c>
      <c r="F53" s="27">
        <f t="shared" si="1"/>
        <v>400</v>
      </c>
    </row>
    <row r="54" spans="1:12" ht="15" customHeight="1" x14ac:dyDescent="0.25">
      <c r="A54" s="18" t="s">
        <v>293</v>
      </c>
      <c r="C54" s="26">
        <v>2415.1999999999998</v>
      </c>
      <c r="D54" s="26">
        <v>2182</v>
      </c>
      <c r="E54" s="26">
        <v>2291</v>
      </c>
      <c r="F54" s="27">
        <f t="shared" si="1"/>
        <v>2291</v>
      </c>
    </row>
    <row r="55" spans="1:12" ht="15" customHeight="1" x14ac:dyDescent="0.25">
      <c r="A55" s="20" t="s">
        <v>294</v>
      </c>
      <c r="C55" s="26">
        <v>449.6</v>
      </c>
      <c r="D55" s="26">
        <v>737.6</v>
      </c>
      <c r="E55" s="26">
        <v>1398.9</v>
      </c>
      <c r="F55" s="27">
        <f t="shared" si="1"/>
        <v>1398.9</v>
      </c>
    </row>
    <row r="56" spans="1:12" ht="15" customHeight="1" x14ac:dyDescent="0.25">
      <c r="A56" s="20" t="s">
        <v>295</v>
      </c>
      <c r="C56" s="26">
        <v>0.1</v>
      </c>
      <c r="D56" s="26">
        <v>0.1</v>
      </c>
      <c r="E56" s="26">
        <v>0.2</v>
      </c>
      <c r="F56" s="27">
        <f t="shared" si="1"/>
        <v>0.2</v>
      </c>
    </row>
    <row r="57" spans="1:12" ht="15" customHeight="1" x14ac:dyDescent="0.25">
      <c r="A57" s="18" t="s">
        <v>296</v>
      </c>
      <c r="C57" s="26">
        <v>449.8</v>
      </c>
      <c r="D57" s="26">
        <v>737.7</v>
      </c>
      <c r="E57" s="26">
        <v>1399.1</v>
      </c>
      <c r="F57" s="27">
        <f t="shared" si="1"/>
        <v>1399.1</v>
      </c>
    </row>
    <row r="58" spans="1:12" ht="15" customHeight="1" x14ac:dyDescent="0.25">
      <c r="A58" s="18" t="s">
        <v>297</v>
      </c>
      <c r="C58" s="27">
        <f>C49-C37</f>
        <v>923.69999999999993</v>
      </c>
      <c r="D58" s="27">
        <f>D49-D37</f>
        <v>609.80000000000007</v>
      </c>
      <c r="E58" s="27">
        <f>E49-E37</f>
        <v>576.89999999999986</v>
      </c>
      <c r="F58" s="27">
        <f t="shared" si="1"/>
        <v>576.89999999999986</v>
      </c>
    </row>
    <row r="59" spans="1:12" ht="15" customHeight="1" x14ac:dyDescent="0.25">
      <c r="A59" s="20" t="s">
        <v>298</v>
      </c>
      <c r="C59" s="32">
        <f>C58/C23</f>
        <v>10.040217391304347</v>
      </c>
      <c r="D59" s="32">
        <f>D58/D23</f>
        <v>0.79806308074859322</v>
      </c>
      <c r="E59" s="32">
        <f>E58/E23</f>
        <v>0.48564693997811248</v>
      </c>
      <c r="F59" s="27">
        <f t="shared" si="1"/>
        <v>0.48564693997811248</v>
      </c>
    </row>
    <row r="60" spans="1:12" ht="15" customHeight="1" x14ac:dyDescent="0.25">
      <c r="A60" s="20" t="s">
        <v>299</v>
      </c>
      <c r="C60" s="24">
        <f>C55/C47</f>
        <v>0.15693392439526685</v>
      </c>
      <c r="D60" s="24">
        <f>D55/D47</f>
        <v>0.25262869472891053</v>
      </c>
      <c r="E60" s="24">
        <f>E55/E47</f>
        <v>0.37909541746836134</v>
      </c>
      <c r="F60" s="27">
        <f t="shared" si="1"/>
        <v>0.37909541746836134</v>
      </c>
    </row>
    <row r="61" spans="1:12" ht="15" customHeight="1" x14ac:dyDescent="0.25">
      <c r="A61" s="35" t="s">
        <v>300</v>
      </c>
    </row>
    <row r="63" spans="1:12" ht="15" customHeight="1" x14ac:dyDescent="0.25">
      <c r="A63" s="16" t="s">
        <v>301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ht="15" customHeight="1" x14ac:dyDescent="0.25">
      <c r="A64" s="18" t="s">
        <v>302</v>
      </c>
      <c r="C64" s="26">
        <v>195.1</v>
      </c>
      <c r="D64" s="26">
        <v>476.4</v>
      </c>
      <c r="E64" s="26">
        <v>616.5</v>
      </c>
      <c r="F64" s="27">
        <f t="shared" ref="F64:F79" si="2">E64</f>
        <v>616.5</v>
      </c>
    </row>
    <row r="65" spans="1:6" ht="15" customHeight="1" x14ac:dyDescent="0.25">
      <c r="A65" s="20" t="s">
        <v>303</v>
      </c>
      <c r="C65" s="26">
        <v>346.1</v>
      </c>
      <c r="D65" s="26">
        <v>312.3</v>
      </c>
      <c r="E65" s="26">
        <v>312.8</v>
      </c>
      <c r="F65" s="27">
        <f t="shared" si="2"/>
        <v>312.8</v>
      </c>
    </row>
    <row r="66" spans="1:6" ht="15" customHeight="1" x14ac:dyDescent="0.25">
      <c r="A66" s="20" t="s">
        <v>304</v>
      </c>
      <c r="C66" s="26">
        <v>146</v>
      </c>
      <c r="D66" s="26">
        <v>-183.8</v>
      </c>
      <c r="E66" s="26">
        <v>-400.3</v>
      </c>
      <c r="F66" s="27">
        <f t="shared" si="2"/>
        <v>-400.3</v>
      </c>
    </row>
    <row r="67" spans="1:6" ht="15" customHeight="1" x14ac:dyDescent="0.25">
      <c r="A67" s="20" t="s">
        <v>305</v>
      </c>
      <c r="C67" s="26">
        <v>-3.8</v>
      </c>
      <c r="D67" s="26">
        <v>-9.6</v>
      </c>
      <c r="E67" s="26">
        <v>-59.4</v>
      </c>
      <c r="F67" s="27">
        <f t="shared" si="2"/>
        <v>-59.4</v>
      </c>
    </row>
    <row r="68" spans="1:6" ht="15" customHeight="1" x14ac:dyDescent="0.25">
      <c r="A68" s="20" t="s">
        <v>306</v>
      </c>
      <c r="C68" s="26">
        <v>-304.39999999999998</v>
      </c>
      <c r="D68" s="26">
        <v>-223.8</v>
      </c>
      <c r="E68" s="26">
        <v>-281.10000000000002</v>
      </c>
      <c r="F68" s="27">
        <f t="shared" si="2"/>
        <v>-281.10000000000002</v>
      </c>
    </row>
    <row r="69" spans="1:6" ht="15" customHeight="1" x14ac:dyDescent="0.25">
      <c r="A69" s="20" t="s">
        <v>307</v>
      </c>
      <c r="C69" s="26">
        <v>-330</v>
      </c>
      <c r="D69" s="26">
        <v>-225.6</v>
      </c>
      <c r="E69" s="26">
        <v>-283.7</v>
      </c>
      <c r="F69" s="27">
        <f t="shared" si="2"/>
        <v>-283.7</v>
      </c>
    </row>
    <row r="70" spans="1:6" ht="15" customHeight="1" x14ac:dyDescent="0.25">
      <c r="A70" s="20" t="s">
        <v>308</v>
      </c>
      <c r="C70" s="26">
        <v>18.600000000000001</v>
      </c>
      <c r="D70" s="26">
        <v>43.7</v>
      </c>
      <c r="E70" s="26">
        <v>56.4</v>
      </c>
      <c r="F70" s="27">
        <f t="shared" si="2"/>
        <v>56.4</v>
      </c>
    </row>
    <row r="71" spans="1:6" ht="15" customHeight="1" x14ac:dyDescent="0.25">
      <c r="A71" s="20" t="s">
        <v>309</v>
      </c>
      <c r="C71" s="26">
        <v>-274.5</v>
      </c>
      <c r="D71" s="26">
        <v>-173</v>
      </c>
      <c r="E71" s="26">
        <v>-221</v>
      </c>
      <c r="F71" s="27">
        <f t="shared" si="2"/>
        <v>-221</v>
      </c>
    </row>
    <row r="72" spans="1:6" ht="15" customHeight="1" x14ac:dyDescent="0.25">
      <c r="A72" s="18" t="s">
        <v>310</v>
      </c>
      <c r="C72" s="26">
        <v>-79.7</v>
      </c>
      <c r="D72" s="26">
        <v>303.39999999999998</v>
      </c>
      <c r="E72" s="26">
        <v>395</v>
      </c>
      <c r="F72" s="27">
        <f t="shared" si="2"/>
        <v>395</v>
      </c>
    </row>
    <row r="73" spans="1:6" ht="15" customHeight="1" x14ac:dyDescent="0.25">
      <c r="A73" s="20" t="s">
        <v>311</v>
      </c>
      <c r="C73" s="26">
        <v>259.2</v>
      </c>
      <c r="D73" s="26">
        <v>68</v>
      </c>
      <c r="E73" s="26">
        <v>862.3</v>
      </c>
      <c r="F73" s="27">
        <f t="shared" si="2"/>
        <v>862.3</v>
      </c>
    </row>
    <row r="74" spans="1:6" ht="15" customHeight="1" x14ac:dyDescent="0.25">
      <c r="A74" s="20" t="s">
        <v>312</v>
      </c>
      <c r="C74" s="26">
        <v>-228.5</v>
      </c>
      <c r="D74" s="26">
        <v>-392.3</v>
      </c>
      <c r="E74" s="26">
        <v>-616.4</v>
      </c>
      <c r="F74" s="27">
        <f t="shared" si="2"/>
        <v>-616.4</v>
      </c>
    </row>
    <row r="75" spans="1:6" ht="15" customHeight="1" x14ac:dyDescent="0.25">
      <c r="A75" s="20" t="s">
        <v>313</v>
      </c>
      <c r="C75" s="26">
        <v>-27.5</v>
      </c>
      <c r="D75" s="26">
        <v>-28.8</v>
      </c>
      <c r="E75" s="26">
        <v>-30.5</v>
      </c>
      <c r="F75" s="27">
        <f t="shared" si="2"/>
        <v>-30.5</v>
      </c>
    </row>
    <row r="76" spans="1:6" ht="15" customHeight="1" x14ac:dyDescent="0.25">
      <c r="A76" s="20" t="s">
        <v>314</v>
      </c>
      <c r="C76" s="26">
        <v>0</v>
      </c>
      <c r="D76" s="26">
        <v>0</v>
      </c>
      <c r="E76" s="26">
        <v>-323</v>
      </c>
      <c r="F76" s="27">
        <f t="shared" si="2"/>
        <v>-323</v>
      </c>
    </row>
    <row r="77" spans="1:6" ht="15" customHeight="1" x14ac:dyDescent="0.25">
      <c r="A77" s="20" t="s">
        <v>315</v>
      </c>
      <c r="C77" s="26">
        <v>0</v>
      </c>
      <c r="D77" s="26">
        <v>30.4</v>
      </c>
      <c r="E77" s="26">
        <v>11.6</v>
      </c>
      <c r="F77" s="27">
        <f t="shared" si="2"/>
        <v>11.6</v>
      </c>
    </row>
    <row r="78" spans="1:6" ht="15" customHeight="1" x14ac:dyDescent="0.25">
      <c r="A78" s="20" t="s">
        <v>316</v>
      </c>
      <c r="C78" s="26">
        <v>3.2</v>
      </c>
      <c r="D78" s="26">
        <v>-322.7</v>
      </c>
      <c r="E78" s="26">
        <v>-96.1</v>
      </c>
      <c r="F78" s="27">
        <f t="shared" si="2"/>
        <v>-96.1</v>
      </c>
    </row>
    <row r="79" spans="1:6" ht="15" customHeight="1" x14ac:dyDescent="0.25">
      <c r="A79" s="20" t="s">
        <v>317</v>
      </c>
      <c r="C79" s="26">
        <v>187.6</v>
      </c>
      <c r="D79" s="26">
        <v>167.9</v>
      </c>
      <c r="E79" s="26">
        <v>470.7</v>
      </c>
      <c r="F79" s="27">
        <f t="shared" si="2"/>
        <v>470.7</v>
      </c>
    </row>
    <row r="80" spans="1:6" ht="15" customHeight="1" x14ac:dyDescent="0.25">
      <c r="A80" s="35" t="s">
        <v>318</v>
      </c>
    </row>
    <row r="82" spans="1:12" ht="15" customHeight="1" x14ac:dyDescent="0.25">
      <c r="A82" s="16" t="s">
        <v>319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ht="15" customHeight="1" x14ac:dyDescent="0.25">
      <c r="A83" s="18" t="s">
        <v>320</v>
      </c>
      <c r="C83" s="62" t="s">
        <v>321</v>
      </c>
    </row>
    <row r="84" spans="1:12" ht="15" customHeight="1" x14ac:dyDescent="0.25">
      <c r="A84" s="18" t="s">
        <v>322</v>
      </c>
      <c r="C84" s="62" t="s">
        <v>323</v>
      </c>
    </row>
    <row r="85" spans="1:12" ht="15" customHeight="1" x14ac:dyDescent="0.25">
      <c r="A85" s="18" t="s">
        <v>324</v>
      </c>
      <c r="C85" s="62" t="s">
        <v>325</v>
      </c>
    </row>
    <row r="86" spans="1:12" ht="15" customHeight="1" x14ac:dyDescent="0.25">
      <c r="A86" s="18" t="s">
        <v>326</v>
      </c>
      <c r="C86" s="62" t="s">
        <v>327</v>
      </c>
    </row>
    <row r="87" spans="1:12" ht="15" customHeight="1" x14ac:dyDescent="0.25">
      <c r="A87" s="18" t="s">
        <v>328</v>
      </c>
      <c r="C87" s="62" t="s">
        <v>329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zoomScaleNormal="100" workbookViewId="0"/>
  </sheetViews>
  <sheetFormatPr defaultColWidth="8.7109375" defaultRowHeight="15" x14ac:dyDescent="0.25"/>
  <cols>
    <col min="1" max="1" width="44" style="1" customWidth="1"/>
    <col min="2" max="2" width="4" style="1" customWidth="1"/>
    <col min="3" max="10" width="10" style="1" customWidth="1"/>
    <col min="11" max="11" width="2" style="1" customWidth="1"/>
    <col min="12" max="12" width="55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330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331</v>
      </c>
    </row>
    <row r="3" spans="1:14" ht="15" customHeight="1" x14ac:dyDescent="0.25">
      <c r="A3" s="15" t="s">
        <v>16</v>
      </c>
    </row>
    <row r="5" spans="1:14" ht="15" customHeight="1" x14ac:dyDescent="0.25">
      <c r="C5" s="42" t="s">
        <v>332</v>
      </c>
      <c r="D5" s="42" t="s">
        <v>333</v>
      </c>
      <c r="E5" s="42" t="s">
        <v>334</v>
      </c>
      <c r="F5" s="42" t="s">
        <v>335</v>
      </c>
      <c r="G5" s="42" t="s">
        <v>336</v>
      </c>
      <c r="H5" s="42" t="s">
        <v>337</v>
      </c>
      <c r="I5" s="42" t="s">
        <v>338</v>
      </c>
      <c r="J5" s="42" t="s">
        <v>339</v>
      </c>
    </row>
    <row r="6" spans="1:14" ht="15" customHeight="1" x14ac:dyDescent="0.25">
      <c r="A6" s="16" t="s">
        <v>340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15" customHeight="1" x14ac:dyDescent="0.25">
      <c r="A7" s="18" t="s">
        <v>250</v>
      </c>
      <c r="C7" s="26">
        <v>428.5</v>
      </c>
      <c r="D7" s="26">
        <v>480.9</v>
      </c>
      <c r="E7" s="26">
        <v>450</v>
      </c>
      <c r="F7" s="26">
        <v>347.1</v>
      </c>
      <c r="G7" s="26">
        <v>342.8</v>
      </c>
      <c r="H7" s="26">
        <v>448.3</v>
      </c>
      <c r="I7" s="26">
        <v>543.6</v>
      </c>
      <c r="J7" s="26">
        <v>1002.9</v>
      </c>
    </row>
    <row r="8" spans="1:14" ht="15" customHeight="1" x14ac:dyDescent="0.25">
      <c r="A8" s="20" t="s">
        <v>251</v>
      </c>
      <c r="C8" s="26">
        <v>223.1</v>
      </c>
      <c r="D8" s="26">
        <v>274.2</v>
      </c>
      <c r="E8" s="26">
        <v>278.7</v>
      </c>
      <c r="F8" s="26">
        <v>215.2</v>
      </c>
      <c r="G8" s="26">
        <v>217.4</v>
      </c>
      <c r="H8" s="26">
        <v>244.6</v>
      </c>
      <c r="I8" s="26">
        <v>300.39999999999998</v>
      </c>
      <c r="J8" s="26">
        <v>600.29999999999995</v>
      </c>
    </row>
    <row r="9" spans="1:14" ht="15" customHeight="1" x14ac:dyDescent="0.25">
      <c r="A9" s="20" t="s">
        <v>252</v>
      </c>
      <c r="C9" s="26">
        <v>151.9</v>
      </c>
      <c r="D9" s="26">
        <v>152.6</v>
      </c>
      <c r="E9" s="26">
        <v>117.1</v>
      </c>
      <c r="F9" s="26">
        <v>79.599999999999994</v>
      </c>
      <c r="G9" s="26">
        <v>79</v>
      </c>
      <c r="H9" s="26">
        <v>157.30000000000001</v>
      </c>
      <c r="I9" s="26">
        <v>186.3</v>
      </c>
      <c r="J9" s="26">
        <v>337.3</v>
      </c>
    </row>
    <row r="10" spans="1:14" ht="15" customHeight="1" x14ac:dyDescent="0.25">
      <c r="A10" s="20" t="s">
        <v>341</v>
      </c>
      <c r="C10" s="26">
        <v>53.6</v>
      </c>
      <c r="D10" s="26">
        <v>54.1</v>
      </c>
      <c r="E10" s="26">
        <v>54.2</v>
      </c>
      <c r="F10" s="26">
        <v>52.3</v>
      </c>
      <c r="G10" s="26">
        <v>46.3</v>
      </c>
      <c r="H10" s="26">
        <v>46.5</v>
      </c>
      <c r="I10" s="26">
        <v>57</v>
      </c>
      <c r="J10" s="26">
        <v>65.2</v>
      </c>
    </row>
    <row r="11" spans="1:14" ht="15" customHeight="1" x14ac:dyDescent="0.25">
      <c r="A11" s="20" t="s">
        <v>342</v>
      </c>
      <c r="C11" s="26">
        <v>176.6</v>
      </c>
      <c r="D11" s="26">
        <v>216.5</v>
      </c>
      <c r="E11" s="26">
        <v>172.3</v>
      </c>
      <c r="F11" s="26">
        <v>85.7</v>
      </c>
      <c r="G11" s="26">
        <v>93.8</v>
      </c>
      <c r="H11" s="26">
        <v>145.6</v>
      </c>
      <c r="I11" s="26">
        <v>198.1</v>
      </c>
      <c r="J11" s="26">
        <v>665.8</v>
      </c>
    </row>
    <row r="12" spans="1:14" ht="15" customHeight="1" x14ac:dyDescent="0.25">
      <c r="A12" s="18" t="s">
        <v>343</v>
      </c>
      <c r="C12" s="26">
        <v>126.2</v>
      </c>
      <c r="D12" s="26">
        <v>166.3</v>
      </c>
      <c r="E12" s="26">
        <v>123</v>
      </c>
      <c r="F12" s="26">
        <v>37.5</v>
      </c>
      <c r="G12" s="26">
        <v>45.2</v>
      </c>
      <c r="H12" s="26">
        <v>87.2</v>
      </c>
      <c r="I12" s="26">
        <v>144.69999999999999</v>
      </c>
      <c r="J12" s="26">
        <v>599.1</v>
      </c>
    </row>
    <row r="13" spans="1:14" ht="15" customHeight="1" x14ac:dyDescent="0.25">
      <c r="A13" s="20" t="s">
        <v>264</v>
      </c>
      <c r="C13" s="26">
        <v>204.4</v>
      </c>
      <c r="D13" s="26">
        <v>245.2</v>
      </c>
      <c r="E13" s="26">
        <v>199.8</v>
      </c>
      <c r="F13" s="26">
        <v>114.7</v>
      </c>
      <c r="G13" s="26">
        <v>124.9</v>
      </c>
      <c r="H13" s="26">
        <v>165.8</v>
      </c>
      <c r="I13" s="26">
        <v>222</v>
      </c>
      <c r="J13" s="26">
        <v>675.3</v>
      </c>
    </row>
    <row r="14" spans="1:14" ht="15" customHeight="1" x14ac:dyDescent="0.25">
      <c r="A14" s="20" t="s">
        <v>344</v>
      </c>
      <c r="C14" s="26">
        <v>70</v>
      </c>
      <c r="D14" s="26">
        <v>106.4</v>
      </c>
      <c r="E14" s="26">
        <v>76.3</v>
      </c>
      <c r="F14" s="26">
        <v>13.3</v>
      </c>
      <c r="G14" s="26">
        <v>18.5</v>
      </c>
      <c r="H14" s="26">
        <v>41.7</v>
      </c>
      <c r="I14" s="26">
        <v>89.5</v>
      </c>
      <c r="J14" s="26">
        <v>409.9</v>
      </c>
    </row>
    <row r="15" spans="1:14" ht="15" customHeight="1" x14ac:dyDescent="0.25">
      <c r="A15" s="20" t="s">
        <v>345</v>
      </c>
      <c r="C15" s="29">
        <v>135.22999999999999</v>
      </c>
      <c r="D15" s="29">
        <v>205.7</v>
      </c>
      <c r="E15" s="29">
        <v>146.44</v>
      </c>
      <c r="F15" s="29">
        <v>24.6</v>
      </c>
      <c r="G15" s="29">
        <v>34.31</v>
      </c>
      <c r="H15" s="29">
        <v>77.22</v>
      </c>
      <c r="I15" s="29">
        <v>165.28</v>
      </c>
      <c r="J15" s="29">
        <v>751.78</v>
      </c>
    </row>
    <row r="16" spans="1:14" ht="15" customHeight="1" x14ac:dyDescent="0.25">
      <c r="A16" s="20" t="s">
        <v>346</v>
      </c>
      <c r="C16" s="26">
        <v>46.2</v>
      </c>
      <c r="D16" s="26">
        <v>41.3</v>
      </c>
      <c r="E16" s="26">
        <v>57.8</v>
      </c>
      <c r="F16" s="26">
        <v>80.3</v>
      </c>
      <c r="G16" s="26">
        <v>53.6</v>
      </c>
      <c r="H16" s="26">
        <v>91.5</v>
      </c>
      <c r="I16" s="26">
        <v>70.900000000000006</v>
      </c>
      <c r="J16" s="26">
        <v>67.7</v>
      </c>
    </row>
    <row r="17" spans="1:10" ht="15" customHeight="1" x14ac:dyDescent="0.25">
      <c r="A17" s="20" t="s">
        <v>347</v>
      </c>
      <c r="C17" s="26">
        <v>31</v>
      </c>
      <c r="D17" s="26">
        <v>31.8</v>
      </c>
      <c r="E17" s="26">
        <v>52.9</v>
      </c>
      <c r="F17" s="26">
        <v>57.2</v>
      </c>
      <c r="G17" s="26">
        <v>34.1</v>
      </c>
      <c r="H17" s="26">
        <v>72.8</v>
      </c>
      <c r="I17" s="26">
        <v>61.3</v>
      </c>
      <c r="J17" s="26">
        <v>52.8</v>
      </c>
    </row>
    <row r="18" spans="1:10" ht="15" customHeight="1" x14ac:dyDescent="0.25">
      <c r="A18" s="20" t="s">
        <v>348</v>
      </c>
      <c r="C18" s="26">
        <v>95.1</v>
      </c>
      <c r="D18" s="26">
        <v>146.69999999999999</v>
      </c>
      <c r="E18" s="26">
        <v>130.69999999999999</v>
      </c>
      <c r="F18" s="26">
        <v>103.9</v>
      </c>
      <c r="G18" s="26">
        <v>61.1</v>
      </c>
      <c r="H18" s="26">
        <v>114</v>
      </c>
      <c r="I18" s="26">
        <v>147</v>
      </c>
      <c r="J18" s="26">
        <v>294.39999999999998</v>
      </c>
    </row>
    <row r="19" spans="1:10" ht="15" customHeight="1" x14ac:dyDescent="0.25">
      <c r="A19" s="18" t="s">
        <v>349</v>
      </c>
      <c r="C19" s="26">
        <v>64.099999999999994</v>
      </c>
      <c r="D19" s="26">
        <v>114.9</v>
      </c>
      <c r="E19" s="26">
        <v>77.8</v>
      </c>
      <c r="F19" s="26">
        <v>46.6</v>
      </c>
      <c r="G19" s="26">
        <v>27</v>
      </c>
      <c r="H19" s="26">
        <v>41.3</v>
      </c>
      <c r="I19" s="26">
        <v>85.7</v>
      </c>
      <c r="J19" s="26">
        <v>241.1</v>
      </c>
    </row>
    <row r="20" spans="1:10" ht="15" customHeight="1" x14ac:dyDescent="0.25">
      <c r="A20" s="20" t="s">
        <v>278</v>
      </c>
      <c r="C20" s="26">
        <v>305.10000000000002</v>
      </c>
      <c r="D20" s="26">
        <v>331.5</v>
      </c>
      <c r="E20" s="26">
        <v>345</v>
      </c>
      <c r="F20" s="26">
        <v>352.9</v>
      </c>
      <c r="G20" s="26">
        <v>371.9</v>
      </c>
      <c r="H20" s="26">
        <v>361.6</v>
      </c>
      <c r="I20" s="26">
        <v>353.5</v>
      </c>
      <c r="J20" s="26">
        <v>412.6</v>
      </c>
    </row>
    <row r="21" spans="1:10" ht="15" customHeight="1" x14ac:dyDescent="0.25">
      <c r="A21" s="20" t="s">
        <v>350</v>
      </c>
      <c r="C21" s="63">
        <v>101</v>
      </c>
      <c r="D21" s="63">
        <v>105</v>
      </c>
      <c r="E21" s="63">
        <v>104</v>
      </c>
      <c r="F21" s="63">
        <v>112</v>
      </c>
      <c r="G21" s="63">
        <v>123</v>
      </c>
      <c r="H21" s="63">
        <v>100</v>
      </c>
      <c r="I21" s="63">
        <v>87</v>
      </c>
      <c r="J21" s="63">
        <v>103</v>
      </c>
    </row>
    <row r="22" spans="1:10" ht="15" customHeight="1" x14ac:dyDescent="0.25">
      <c r="A22" s="20" t="s">
        <v>351</v>
      </c>
      <c r="C22" s="26">
        <v>1167.5999999999999</v>
      </c>
      <c r="D22" s="26">
        <v>1067.9000000000001</v>
      </c>
      <c r="E22" s="26">
        <v>965.6</v>
      </c>
      <c r="F22" s="26">
        <v>931</v>
      </c>
      <c r="G22" s="26">
        <v>912.2</v>
      </c>
      <c r="H22" s="26">
        <v>873.7</v>
      </c>
      <c r="I22" s="26">
        <v>787</v>
      </c>
      <c r="J22" s="26">
        <v>552.1</v>
      </c>
    </row>
    <row r="23" spans="1:10" ht="15" customHeight="1" x14ac:dyDescent="0.25">
      <c r="A23" s="20" t="s">
        <v>352</v>
      </c>
      <c r="C23" s="26">
        <v>170.1</v>
      </c>
      <c r="D23" s="26">
        <v>143.69999999999999</v>
      </c>
      <c r="E23" s="26">
        <v>174.3</v>
      </c>
      <c r="F23" s="26">
        <v>167.9</v>
      </c>
      <c r="G23" s="26">
        <v>178.4</v>
      </c>
      <c r="H23" s="26">
        <v>235.5</v>
      </c>
      <c r="I23" s="26">
        <v>281.5</v>
      </c>
      <c r="J23" s="26">
        <v>470.7</v>
      </c>
    </row>
    <row r="24" spans="1:10" ht="15" customHeight="1" x14ac:dyDescent="0.25">
      <c r="A24" s="20" t="s">
        <v>353</v>
      </c>
      <c r="C24" s="63">
        <v>155</v>
      </c>
      <c r="D24" s="63">
        <v>153</v>
      </c>
      <c r="E24" s="63">
        <v>149</v>
      </c>
      <c r="F24" s="63">
        <v>154</v>
      </c>
      <c r="G24" s="63">
        <v>145</v>
      </c>
      <c r="H24" s="63">
        <v>147</v>
      </c>
      <c r="I24" s="63">
        <v>153</v>
      </c>
      <c r="J24" s="63">
        <v>155</v>
      </c>
    </row>
    <row r="25" spans="1:10" ht="15" customHeight="1" x14ac:dyDescent="0.25">
      <c r="A25" s="20" t="s">
        <v>354</v>
      </c>
      <c r="D25" s="24">
        <f t="shared" ref="D25:J25" si="0">(D7-C7)/C7</f>
        <v>0.12228704784130683</v>
      </c>
      <c r="E25" s="24">
        <f t="shared" si="0"/>
        <v>-6.4254522769806574E-2</v>
      </c>
      <c r="F25" s="24">
        <f t="shared" si="0"/>
        <v>-0.22866666666666663</v>
      </c>
      <c r="G25" s="24">
        <f t="shared" si="0"/>
        <v>-1.2388360702967477E-2</v>
      </c>
      <c r="H25" s="24">
        <f t="shared" si="0"/>
        <v>0.30775962660443407</v>
      </c>
      <c r="I25" s="24">
        <f t="shared" si="0"/>
        <v>0.21258086103055993</v>
      </c>
      <c r="J25" s="24">
        <f t="shared" si="0"/>
        <v>0.8449227373068432</v>
      </c>
    </row>
    <row r="26" spans="1:10" ht="15" customHeight="1" x14ac:dyDescent="0.25">
      <c r="A26" s="20" t="s">
        <v>355</v>
      </c>
      <c r="G26" s="24">
        <f>(G7-C7)/C7</f>
        <v>-0.19999999999999998</v>
      </c>
      <c r="H26" s="24">
        <f>(H7-D7)/D7</f>
        <v>-6.7789561239342835E-2</v>
      </c>
      <c r="I26" s="24">
        <f>(I7-E7)/E7</f>
        <v>0.20800000000000005</v>
      </c>
      <c r="J26" s="24">
        <f>(J7-F7)/F7</f>
        <v>1.8893690579083835</v>
      </c>
    </row>
    <row r="27" spans="1:10" ht="15" customHeight="1" x14ac:dyDescent="0.25">
      <c r="A27" s="20" t="s">
        <v>356</v>
      </c>
      <c r="C27" s="24">
        <f t="shared" ref="C27:J27" si="1">C11/C7</f>
        <v>0.41213535589264877</v>
      </c>
      <c r="D27" s="24">
        <f t="shared" si="1"/>
        <v>0.45019754626741526</v>
      </c>
      <c r="E27" s="24">
        <f t="shared" si="1"/>
        <v>0.38288888888888889</v>
      </c>
      <c r="F27" s="24">
        <f t="shared" si="1"/>
        <v>0.24690290982425814</v>
      </c>
      <c r="G27" s="24">
        <f t="shared" si="1"/>
        <v>0.27362893815635936</v>
      </c>
      <c r="H27" s="24">
        <f t="shared" si="1"/>
        <v>0.32478251171090783</v>
      </c>
      <c r="I27" s="24">
        <f t="shared" si="1"/>
        <v>0.36442236938925676</v>
      </c>
      <c r="J27" s="24">
        <f t="shared" si="1"/>
        <v>0.66387476318675842</v>
      </c>
    </row>
    <row r="28" spans="1:10" ht="15" customHeight="1" x14ac:dyDescent="0.25">
      <c r="A28" s="20" t="s">
        <v>357</v>
      </c>
      <c r="C28" s="24">
        <f t="shared" ref="C28:J28" si="2">C12/C7</f>
        <v>0.29451575262543755</v>
      </c>
      <c r="D28" s="24">
        <f t="shared" si="2"/>
        <v>0.34580993969640261</v>
      </c>
      <c r="E28" s="24">
        <f t="shared" si="2"/>
        <v>0.27333333333333332</v>
      </c>
      <c r="F28" s="24">
        <f t="shared" si="2"/>
        <v>0.10803802938634399</v>
      </c>
      <c r="G28" s="24">
        <f t="shared" si="2"/>
        <v>0.13185530921820304</v>
      </c>
      <c r="H28" s="24">
        <f t="shared" si="2"/>
        <v>0.19451260316752175</v>
      </c>
      <c r="I28" s="24">
        <f t="shared" si="2"/>
        <v>0.2661883738042678</v>
      </c>
      <c r="J28" s="24">
        <f t="shared" si="2"/>
        <v>0.59736763386180081</v>
      </c>
    </row>
    <row r="29" spans="1:10" ht="15" customHeight="1" x14ac:dyDescent="0.25">
      <c r="A29" s="20" t="s">
        <v>358</v>
      </c>
      <c r="C29" s="24">
        <f t="shared" ref="C29:J29" si="3">C13/C7</f>
        <v>0.47701283547257878</v>
      </c>
      <c r="D29" s="24">
        <f t="shared" si="3"/>
        <v>0.50987731337076314</v>
      </c>
      <c r="E29" s="24">
        <f t="shared" si="3"/>
        <v>0.44400000000000001</v>
      </c>
      <c r="F29" s="24">
        <f t="shared" si="3"/>
        <v>0.33045231921636414</v>
      </c>
      <c r="G29" s="24">
        <f t="shared" si="3"/>
        <v>0.36435239206534425</v>
      </c>
      <c r="H29" s="24">
        <f t="shared" si="3"/>
        <v>0.36984162391255859</v>
      </c>
      <c r="I29" s="24">
        <f t="shared" si="3"/>
        <v>0.4083885209713024</v>
      </c>
      <c r="J29" s="24">
        <f t="shared" si="3"/>
        <v>0.6733472928507328</v>
      </c>
    </row>
    <row r="30" spans="1:10" ht="15" customHeight="1" x14ac:dyDescent="0.25">
      <c r="A30" s="20" t="s">
        <v>359</v>
      </c>
      <c r="C30" s="32">
        <f t="shared" ref="C30:J30" si="4">C22/(C13*4)</f>
        <v>1.4280821917808217</v>
      </c>
      <c r="D30" s="32">
        <f t="shared" si="4"/>
        <v>1.0888050570962482</v>
      </c>
      <c r="E30" s="32">
        <f t="shared" si="4"/>
        <v>1.2082082082082082</v>
      </c>
      <c r="F30" s="32">
        <f t="shared" si="4"/>
        <v>2.0292066259808195</v>
      </c>
      <c r="G30" s="32">
        <f t="shared" si="4"/>
        <v>1.8258606885508406</v>
      </c>
      <c r="H30" s="32">
        <f t="shared" si="4"/>
        <v>1.3174004825090471</v>
      </c>
      <c r="I30" s="32">
        <f t="shared" si="4"/>
        <v>0.88626126126126126</v>
      </c>
      <c r="J30" s="32">
        <f t="shared" si="4"/>
        <v>0.20439064119650527</v>
      </c>
    </row>
    <row r="31" spans="1:10" ht="15" customHeight="1" x14ac:dyDescent="0.25">
      <c r="A31" s="35" t="s">
        <v>360</v>
      </c>
    </row>
    <row r="32" spans="1:10" ht="15" customHeight="1" x14ac:dyDescent="0.25">
      <c r="A32" s="35" t="s">
        <v>361</v>
      </c>
    </row>
    <row r="33" spans="1:1" ht="15" customHeight="1" x14ac:dyDescent="0.25">
      <c r="A33" s="35" t="s">
        <v>362</v>
      </c>
    </row>
  </sheetData>
  <phoneticPr fontId="3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1"/>
  <sheetViews>
    <sheetView showGridLines="0" zoomScaleNormal="100" workbookViewId="0"/>
  </sheetViews>
  <sheetFormatPr defaultColWidth="8.7109375" defaultRowHeight="15" x14ac:dyDescent="0.25"/>
  <cols>
    <col min="1" max="1" width="40" style="1" customWidth="1"/>
    <col min="2" max="2" width="13" style="1" customWidth="1"/>
    <col min="3" max="9" width="12" style="1" customWidth="1"/>
    <col min="10" max="10" width="2" style="1" customWidth="1"/>
    <col min="11" max="11" width="62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363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364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365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C6" s="42" t="s">
        <v>366</v>
      </c>
      <c r="D6" s="42" t="s">
        <v>367</v>
      </c>
      <c r="E6" s="42" t="s">
        <v>368</v>
      </c>
      <c r="F6" s="42" t="s">
        <v>369</v>
      </c>
      <c r="G6" s="42" t="s">
        <v>370</v>
      </c>
    </row>
    <row r="7" spans="1:14" ht="15" customHeight="1" x14ac:dyDescent="0.25">
      <c r="A7" s="20" t="s">
        <v>371</v>
      </c>
      <c r="C7" s="59">
        <v>38.700000000000003</v>
      </c>
      <c r="D7" s="59">
        <v>67</v>
      </c>
      <c r="E7" s="59">
        <v>69.5</v>
      </c>
      <c r="F7" s="59">
        <v>147.30000000000001</v>
      </c>
      <c r="K7" s="35" t="s">
        <v>372</v>
      </c>
    </row>
    <row r="8" spans="1:14" ht="15" customHeight="1" x14ac:dyDescent="0.25">
      <c r="A8" s="20" t="s">
        <v>373</v>
      </c>
      <c r="D8" s="24">
        <f>(D7-C7)/C7</f>
        <v>0.73126614987080085</v>
      </c>
      <c r="E8" s="24">
        <f>(E7-D7)/D7</f>
        <v>3.7313432835820892E-2</v>
      </c>
      <c r="F8" s="24">
        <f>(F7-E7)/E7</f>
        <v>1.1194244604316548</v>
      </c>
      <c r="K8" s="35"/>
    </row>
    <row r="9" spans="1:14" ht="15" customHeight="1" x14ac:dyDescent="0.25">
      <c r="A9" s="20" t="s">
        <v>374</v>
      </c>
      <c r="C9" s="64" t="s">
        <v>375</v>
      </c>
      <c r="D9" s="64" t="s">
        <v>375</v>
      </c>
      <c r="E9" s="64" t="s">
        <v>376</v>
      </c>
      <c r="F9" s="64" t="s">
        <v>377</v>
      </c>
      <c r="G9" s="64" t="s">
        <v>378</v>
      </c>
      <c r="K9" s="35" t="s">
        <v>379</v>
      </c>
    </row>
    <row r="10" spans="1:14" ht="15" customHeight="1" x14ac:dyDescent="0.25">
      <c r="A10" s="20" t="s">
        <v>380</v>
      </c>
      <c r="C10" s="64" t="s">
        <v>381</v>
      </c>
      <c r="D10" s="64" t="s">
        <v>382</v>
      </c>
      <c r="E10" s="64" t="s">
        <v>383</v>
      </c>
      <c r="F10" s="64" t="s">
        <v>384</v>
      </c>
      <c r="G10" s="64" t="s">
        <v>385</v>
      </c>
      <c r="K10" s="35" t="s">
        <v>386</v>
      </c>
    </row>
    <row r="12" spans="1:14" ht="15" customHeight="1" x14ac:dyDescent="0.25">
      <c r="A12" s="16" t="s">
        <v>387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4" ht="23.25" customHeight="1" x14ac:dyDescent="0.25">
      <c r="C13" s="65" t="s">
        <v>388</v>
      </c>
      <c r="D13" s="65" t="s">
        <v>389</v>
      </c>
      <c r="E13" s="65" t="s">
        <v>390</v>
      </c>
      <c r="F13" s="65" t="s">
        <v>391</v>
      </c>
      <c r="G13" s="65" t="s">
        <v>392</v>
      </c>
    </row>
    <row r="14" spans="1:14" ht="15" customHeight="1" x14ac:dyDescent="0.25">
      <c r="A14" s="20" t="s">
        <v>393</v>
      </c>
      <c r="C14" s="52">
        <v>0.22</v>
      </c>
      <c r="D14" s="52">
        <v>0.34</v>
      </c>
      <c r="E14" s="52">
        <v>0.32</v>
      </c>
      <c r="F14" s="64" t="s">
        <v>394</v>
      </c>
      <c r="G14" s="64" t="s">
        <v>395</v>
      </c>
    </row>
    <row r="15" spans="1:14" ht="15" customHeight="1" x14ac:dyDescent="0.25">
      <c r="A15" s="20" t="s">
        <v>396</v>
      </c>
      <c r="C15" s="52">
        <v>0.08</v>
      </c>
      <c r="D15" s="52">
        <v>0.08</v>
      </c>
      <c r="E15" s="52">
        <v>0.13</v>
      </c>
      <c r="F15" s="64" t="s">
        <v>397</v>
      </c>
      <c r="G15" s="64" t="s">
        <v>398</v>
      </c>
    </row>
    <row r="16" spans="1:14" ht="15" customHeight="1" x14ac:dyDescent="0.25">
      <c r="A16" s="20" t="s">
        <v>399</v>
      </c>
      <c r="C16" s="52">
        <v>0.21</v>
      </c>
      <c r="D16" s="52">
        <v>0.18</v>
      </c>
      <c r="E16" s="52">
        <v>0.08</v>
      </c>
      <c r="F16" s="64" t="s">
        <v>398</v>
      </c>
      <c r="G16" s="64" t="s">
        <v>400</v>
      </c>
    </row>
    <row r="17" spans="1:12" ht="15" customHeight="1" x14ac:dyDescent="0.25">
      <c r="A17" s="20" t="s">
        <v>401</v>
      </c>
      <c r="C17" s="52">
        <v>0.31</v>
      </c>
      <c r="D17" s="52">
        <v>0.26</v>
      </c>
      <c r="E17" s="52">
        <v>7.0000000000000007E-2</v>
      </c>
      <c r="F17" s="64" t="s">
        <v>402</v>
      </c>
      <c r="G17" s="64" t="s">
        <v>400</v>
      </c>
    </row>
    <row r="18" spans="1:12" ht="15" customHeight="1" x14ac:dyDescent="0.25">
      <c r="A18" s="20" t="s">
        <v>403</v>
      </c>
      <c r="C18" s="52">
        <v>7.0000000000000007E-2</v>
      </c>
      <c r="D18" s="52">
        <v>0.05</v>
      </c>
      <c r="E18" s="52">
        <v>0.02</v>
      </c>
      <c r="F18" s="64" t="s">
        <v>397</v>
      </c>
      <c r="G18" s="64" t="s">
        <v>404</v>
      </c>
    </row>
    <row r="19" spans="1:12" ht="15" customHeight="1" x14ac:dyDescent="0.25">
      <c r="A19" s="20" t="s">
        <v>405</v>
      </c>
      <c r="C19" s="52">
        <v>0.04</v>
      </c>
      <c r="D19" s="52">
        <v>0.05</v>
      </c>
      <c r="E19" s="52">
        <v>0.18</v>
      </c>
      <c r="F19" s="64" t="s">
        <v>406</v>
      </c>
      <c r="G19" s="64" t="s">
        <v>398</v>
      </c>
    </row>
    <row r="20" spans="1:12" ht="15" customHeight="1" x14ac:dyDescent="0.25">
      <c r="A20" s="20" t="s">
        <v>407</v>
      </c>
      <c r="C20" s="52">
        <v>7.0000000000000007E-2</v>
      </c>
      <c r="D20" s="52">
        <v>0.04</v>
      </c>
      <c r="E20" s="52">
        <v>-0.02</v>
      </c>
      <c r="F20" s="64" t="s">
        <v>408</v>
      </c>
      <c r="G20" s="64" t="s">
        <v>409</v>
      </c>
    </row>
    <row r="21" spans="1:12" ht="15" customHeight="1" x14ac:dyDescent="0.25">
      <c r="A21" s="18" t="s">
        <v>410</v>
      </c>
      <c r="C21" s="24">
        <f>SUM(C14:C20)</f>
        <v>1.0000000000000002</v>
      </c>
      <c r="D21" s="24">
        <f>SUM(D14:D20)</f>
        <v>1.0000000000000002</v>
      </c>
    </row>
    <row r="22" spans="1:12" ht="15" customHeight="1" x14ac:dyDescent="0.25">
      <c r="A22" s="35" t="s">
        <v>411</v>
      </c>
    </row>
    <row r="24" spans="1:12" ht="15" customHeight="1" x14ac:dyDescent="0.25">
      <c r="A24" s="16" t="s">
        <v>412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3.25" customHeight="1" x14ac:dyDescent="0.25">
      <c r="C25" s="65" t="s">
        <v>413</v>
      </c>
      <c r="D25" s="65" t="s">
        <v>414</v>
      </c>
      <c r="E25" s="65" t="s">
        <v>415</v>
      </c>
      <c r="F25" s="65" t="s">
        <v>416</v>
      </c>
      <c r="G25" s="65" t="s">
        <v>417</v>
      </c>
    </row>
    <row r="26" spans="1:12" ht="15" customHeight="1" x14ac:dyDescent="0.25">
      <c r="A26" s="20" t="s">
        <v>418</v>
      </c>
      <c r="C26" s="52">
        <v>0.32</v>
      </c>
      <c r="D26" s="52">
        <v>0.12</v>
      </c>
      <c r="E26" s="62" t="s">
        <v>419</v>
      </c>
      <c r="F26" s="62" t="s">
        <v>420</v>
      </c>
      <c r="G26" s="62" t="s">
        <v>421</v>
      </c>
    </row>
    <row r="27" spans="1:12" ht="15" customHeight="1" x14ac:dyDescent="0.25">
      <c r="A27" s="20" t="s">
        <v>422</v>
      </c>
      <c r="C27" s="52">
        <v>0.2</v>
      </c>
      <c r="D27" s="52">
        <v>0.13</v>
      </c>
      <c r="E27" s="62" t="s">
        <v>423</v>
      </c>
      <c r="F27" s="62" t="s">
        <v>424</v>
      </c>
      <c r="G27" s="62" t="s">
        <v>425</v>
      </c>
    </row>
    <row r="28" spans="1:12" ht="15" customHeight="1" x14ac:dyDescent="0.25">
      <c r="A28" s="20" t="s">
        <v>426</v>
      </c>
      <c r="C28" s="52">
        <v>0.15</v>
      </c>
      <c r="D28" s="52">
        <v>0.18</v>
      </c>
      <c r="E28" s="62" t="s">
        <v>427</v>
      </c>
      <c r="F28" s="62" t="s">
        <v>428</v>
      </c>
      <c r="G28" s="62" t="s">
        <v>429</v>
      </c>
    </row>
    <row r="29" spans="1:12" ht="15" customHeight="1" x14ac:dyDescent="0.25">
      <c r="A29" s="20" t="s">
        <v>430</v>
      </c>
      <c r="C29" s="52">
        <v>0.11</v>
      </c>
      <c r="D29" s="52">
        <v>0.16</v>
      </c>
      <c r="E29" s="62" t="s">
        <v>431</v>
      </c>
      <c r="F29" s="62" t="s">
        <v>432</v>
      </c>
      <c r="G29" s="62" t="s">
        <v>433</v>
      </c>
    </row>
    <row r="30" spans="1:12" ht="15" customHeight="1" x14ac:dyDescent="0.25">
      <c r="A30" s="20" t="s">
        <v>434</v>
      </c>
      <c r="C30" s="52">
        <v>0.12</v>
      </c>
      <c r="D30" s="52">
        <v>0.15</v>
      </c>
      <c r="E30" s="62" t="s">
        <v>435</v>
      </c>
      <c r="F30" s="62" t="s">
        <v>436</v>
      </c>
      <c r="G30" s="62" t="s">
        <v>437</v>
      </c>
    </row>
    <row r="31" spans="1:12" ht="15" customHeight="1" x14ac:dyDescent="0.25">
      <c r="A31" s="20" t="s">
        <v>438</v>
      </c>
      <c r="C31" s="52">
        <v>0.09</v>
      </c>
      <c r="D31" s="52">
        <v>0.22</v>
      </c>
      <c r="E31" s="62" t="s">
        <v>439</v>
      </c>
      <c r="F31" s="62" t="s">
        <v>440</v>
      </c>
      <c r="G31" s="62" t="s">
        <v>441</v>
      </c>
    </row>
    <row r="32" spans="1:12" ht="15" customHeight="1" x14ac:dyDescent="0.25">
      <c r="A32" s="20" t="s">
        <v>442</v>
      </c>
      <c r="C32" s="52">
        <v>0.01</v>
      </c>
      <c r="D32" s="52">
        <v>0.05</v>
      </c>
      <c r="E32" s="62" t="s">
        <v>375</v>
      </c>
      <c r="F32" s="62" t="s">
        <v>375</v>
      </c>
      <c r="G32" s="62"/>
    </row>
    <row r="33" spans="1:12" ht="15" customHeight="1" x14ac:dyDescent="0.25">
      <c r="A33" s="18" t="s">
        <v>443</v>
      </c>
      <c r="C33" s="24">
        <f>SUM(C26:C32)</f>
        <v>1</v>
      </c>
    </row>
    <row r="35" spans="1:12" ht="15" customHeight="1" x14ac:dyDescent="0.25">
      <c r="A35" s="16" t="s">
        <v>444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5" customHeight="1" x14ac:dyDescent="0.25">
      <c r="C36" s="42" t="s">
        <v>31</v>
      </c>
      <c r="D36" s="42" t="s">
        <v>32</v>
      </c>
      <c r="E36" s="42" t="s">
        <v>46</v>
      </c>
      <c r="F36" s="42" t="s">
        <v>98</v>
      </c>
      <c r="G36" s="42" t="s">
        <v>47</v>
      </c>
      <c r="H36" s="42" t="s">
        <v>99</v>
      </c>
      <c r="I36" s="42" t="s">
        <v>100</v>
      </c>
    </row>
    <row r="37" spans="1:12" ht="15" customHeight="1" x14ac:dyDescent="0.25">
      <c r="A37" s="20" t="s">
        <v>184</v>
      </c>
      <c r="C37" s="24">
        <f>Assumptions!C104</f>
        <v>0.21</v>
      </c>
      <c r="D37" s="24">
        <f>Assumptions!D104</f>
        <v>0.23</v>
      </c>
      <c r="E37" s="24">
        <f>Assumptions!E104</f>
        <v>0.22</v>
      </c>
      <c r="F37" s="24">
        <f>Assumptions!F104</f>
        <v>0.2</v>
      </c>
      <c r="G37" s="24">
        <f>Assumptions!G104</f>
        <v>0.18</v>
      </c>
      <c r="H37" s="24">
        <f>Assumptions!H104</f>
        <v>0.17</v>
      </c>
      <c r="I37" s="24">
        <f>Assumptions!I104</f>
        <v>0.16</v>
      </c>
    </row>
    <row r="38" spans="1:12" ht="15" customHeight="1" x14ac:dyDescent="0.25">
      <c r="A38" s="20" t="s">
        <v>187</v>
      </c>
      <c r="C38" s="24">
        <f>Assumptions!C105</f>
        <v>0.18</v>
      </c>
      <c r="D38" s="24">
        <f>Assumptions!D105</f>
        <v>0.2</v>
      </c>
      <c r="E38" s="24">
        <f>Assumptions!E105</f>
        <v>0.22</v>
      </c>
      <c r="F38" s="24">
        <f>Assumptions!F105</f>
        <v>0.21</v>
      </c>
      <c r="G38" s="24">
        <f>Assumptions!G105</f>
        <v>0.19</v>
      </c>
      <c r="H38" s="24">
        <f>Assumptions!H105</f>
        <v>0.18</v>
      </c>
      <c r="I38" s="24">
        <f>Assumptions!I105</f>
        <v>0.17</v>
      </c>
    </row>
    <row r="39" spans="1:12" ht="15" customHeight="1" x14ac:dyDescent="0.25">
      <c r="A39" s="20" t="s">
        <v>445</v>
      </c>
      <c r="C39" s="66">
        <f t="shared" ref="C39:I39" si="0">C37-C38</f>
        <v>0.03</v>
      </c>
      <c r="D39" s="66">
        <f t="shared" si="0"/>
        <v>0.03</v>
      </c>
      <c r="E39" s="66">
        <f t="shared" si="0"/>
        <v>0</v>
      </c>
      <c r="F39" s="66">
        <f t="shared" si="0"/>
        <v>-9.9999999999999811E-3</v>
      </c>
      <c r="G39" s="66">
        <f t="shared" si="0"/>
        <v>-1.0000000000000009E-2</v>
      </c>
      <c r="H39" s="66">
        <f t="shared" si="0"/>
        <v>-9.9999999999999811E-3</v>
      </c>
      <c r="I39" s="66">
        <f t="shared" si="0"/>
        <v>-1.0000000000000009E-2</v>
      </c>
    </row>
    <row r="40" spans="1:12" ht="15" customHeight="1" x14ac:dyDescent="0.25">
      <c r="A40" s="20" t="s">
        <v>446</v>
      </c>
      <c r="C40" s="64" t="s">
        <v>447</v>
      </c>
      <c r="D40" s="64" t="s">
        <v>448</v>
      </c>
      <c r="E40" s="64" t="s">
        <v>449</v>
      </c>
      <c r="F40" s="64" t="s">
        <v>450</v>
      </c>
      <c r="G40" s="64" t="s">
        <v>451</v>
      </c>
      <c r="H40" s="64" t="s">
        <v>452</v>
      </c>
      <c r="I40" s="64" t="s">
        <v>452</v>
      </c>
    </row>
    <row r="41" spans="1:12" ht="15" customHeight="1" x14ac:dyDescent="0.25">
      <c r="A41" s="35" t="s">
        <v>453</v>
      </c>
    </row>
  </sheetData>
  <phoneticPr fontId="30"/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showGridLines="0" zoomScaleNormal="100" workbookViewId="0"/>
  </sheetViews>
  <sheetFormatPr defaultColWidth="8.7109375" defaultRowHeight="15" x14ac:dyDescent="0.25"/>
  <cols>
    <col min="1" max="1" width="44" style="1" customWidth="1"/>
    <col min="2" max="2" width="4" style="1" customWidth="1"/>
    <col min="3" max="9" width="11" style="1" customWidth="1"/>
    <col min="10" max="10" width="2" style="1" customWidth="1"/>
    <col min="11" max="11" width="58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454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455</v>
      </c>
    </row>
    <row r="3" spans="1:14" ht="15" customHeight="1" x14ac:dyDescent="0.25">
      <c r="A3" s="15" t="s">
        <v>16</v>
      </c>
    </row>
    <row r="5" spans="1:14" ht="15" customHeight="1" x14ac:dyDescent="0.25">
      <c r="A5" s="109" t="s">
        <v>456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7"/>
    </row>
    <row r="6" spans="1:14" ht="15" customHeight="1" x14ac:dyDescent="0.25">
      <c r="C6" s="42" t="s">
        <v>31</v>
      </c>
      <c r="D6" s="42" t="s">
        <v>32</v>
      </c>
      <c r="E6" s="42" t="s">
        <v>46</v>
      </c>
      <c r="F6" s="42" t="s">
        <v>98</v>
      </c>
      <c r="G6" s="42" t="s">
        <v>47</v>
      </c>
      <c r="H6" s="42" t="s">
        <v>99</v>
      </c>
      <c r="I6" s="42" t="s">
        <v>100</v>
      </c>
    </row>
    <row r="7" spans="1:14" ht="15" customHeight="1" x14ac:dyDescent="0.25">
      <c r="A7" s="20" t="s">
        <v>457</v>
      </c>
      <c r="C7" s="27">
        <f>'Operating Model'!E7</f>
        <v>2337.6</v>
      </c>
      <c r="D7" s="27">
        <f t="shared" ref="D7:I7" si="0">C12</f>
        <v>9272.9502627840011</v>
      </c>
      <c r="E7" s="27">
        <f t="shared" si="0"/>
        <v>12234.359658706702</v>
      </c>
      <c r="F7" s="27">
        <f t="shared" si="0"/>
        <v>12253.857364520685</v>
      </c>
      <c r="G7" s="27">
        <f t="shared" si="0"/>
        <v>12457.038162278537</v>
      </c>
      <c r="H7" s="27">
        <f t="shared" si="0"/>
        <v>12826.585097246932</v>
      </c>
      <c r="I7" s="27">
        <f t="shared" si="0"/>
        <v>13284.578752221083</v>
      </c>
    </row>
    <row r="8" spans="1:14" ht="15" customHeight="1" x14ac:dyDescent="0.25">
      <c r="A8" s="20" t="s">
        <v>458</v>
      </c>
      <c r="C8" s="24">
        <f>Assumptions!C67</f>
        <v>0.2</v>
      </c>
      <c r="D8" s="24">
        <f>Assumptions!D67</f>
        <v>0.24</v>
      </c>
      <c r="E8" s="24">
        <f>Assumptions!E67</f>
        <v>0.24</v>
      </c>
      <c r="F8" s="24">
        <f>Assumptions!F67</f>
        <v>0.22</v>
      </c>
      <c r="G8" s="24">
        <f>Assumptions!G67</f>
        <v>0.19</v>
      </c>
      <c r="H8" s="24">
        <f>Assumptions!H67</f>
        <v>0.17</v>
      </c>
      <c r="I8" s="24">
        <f>Assumptions!I67</f>
        <v>0.16</v>
      </c>
    </row>
    <row r="9" spans="1:14" ht="15" customHeight="1" x14ac:dyDescent="0.25">
      <c r="A9" s="20" t="s">
        <v>459</v>
      </c>
      <c r="C9" s="24">
        <f>Assumptions!C68</f>
        <v>2.0859999999999999</v>
      </c>
      <c r="D9" s="24">
        <f>Assumptions!D68</f>
        <v>0.05</v>
      </c>
      <c r="E9" s="24">
        <f>Assumptions!E68</f>
        <v>-0.2</v>
      </c>
      <c r="F9" s="24">
        <f>Assumptions!F68</f>
        <v>-0.18</v>
      </c>
      <c r="G9" s="24">
        <f>Assumptions!G68</f>
        <v>-0.14000000000000001</v>
      </c>
      <c r="H9" s="24">
        <f>Assumptions!H68</f>
        <v>-0.12</v>
      </c>
      <c r="I9" s="24">
        <f>Assumptions!I68</f>
        <v>-0.1</v>
      </c>
    </row>
    <row r="10" spans="1:14" ht="15" customHeight="1" x14ac:dyDescent="0.25">
      <c r="A10" s="20" t="s">
        <v>460</v>
      </c>
      <c r="C10" s="24">
        <f>Assumptions!C69</f>
        <v>0.03</v>
      </c>
      <c r="D10" s="24">
        <f>Assumptions!D69</f>
        <v>0.04</v>
      </c>
      <c r="E10" s="24">
        <f>Assumptions!E69</f>
        <v>0.03</v>
      </c>
      <c r="F10" s="24">
        <f>Assumptions!F69</f>
        <v>0.03</v>
      </c>
      <c r="G10" s="24">
        <f>Assumptions!G69</f>
        <v>0.02</v>
      </c>
      <c r="H10" s="24">
        <f>Assumptions!H69</f>
        <v>0.02</v>
      </c>
      <c r="I10" s="24">
        <f>Assumptions!I69</f>
        <v>0.01</v>
      </c>
    </row>
    <row r="11" spans="1:14" ht="15" customHeight="1" x14ac:dyDescent="0.25">
      <c r="A11" s="20" t="s">
        <v>461</v>
      </c>
      <c r="C11" s="24">
        <f>Assumptions!C70</f>
        <v>4.0000000000000036E-2</v>
      </c>
      <c r="D11" s="24">
        <f>Assumptions!D70</f>
        <v>-2.5641025641025661E-2</v>
      </c>
      <c r="E11" s="24">
        <f>Assumptions!E70</f>
        <v>-1.9736842105263164E-2</v>
      </c>
      <c r="F11" s="24">
        <f>Assumptions!F70</f>
        <v>-1.3422818791946289E-2</v>
      </c>
      <c r="G11" s="24">
        <f>Assumptions!G70</f>
        <v>-1.3605442176870763E-2</v>
      </c>
      <c r="H11" s="24">
        <f>Assumptions!H70</f>
        <v>-1.379310344827589E-2</v>
      </c>
      <c r="I11" s="24">
        <f>Assumptions!I70</f>
        <v>-6.9930069930069783E-3</v>
      </c>
    </row>
    <row r="12" spans="1:14" ht="15" customHeight="1" x14ac:dyDescent="0.25">
      <c r="A12" s="18" t="s">
        <v>462</v>
      </c>
      <c r="C12" s="27">
        <f t="shared" ref="C12:I12" si="1">C7*(1+C8)*(1+C9)*(1+C10)*(1+C11)</f>
        <v>9272.9502627840011</v>
      </c>
      <c r="D12" s="27">
        <f t="shared" si="1"/>
        <v>12234.359658706702</v>
      </c>
      <c r="E12" s="27">
        <f t="shared" si="1"/>
        <v>12253.857364520685</v>
      </c>
      <c r="F12" s="27">
        <f t="shared" si="1"/>
        <v>12457.038162278537</v>
      </c>
      <c r="G12" s="27">
        <f t="shared" si="1"/>
        <v>12826.585097246932</v>
      </c>
      <c r="H12" s="27">
        <f t="shared" si="1"/>
        <v>13284.578752221083</v>
      </c>
      <c r="I12" s="27">
        <f t="shared" si="1"/>
        <v>13909.834637537508</v>
      </c>
    </row>
    <row r="13" spans="1:14" ht="15" customHeight="1" x14ac:dyDescent="0.25">
      <c r="A13" s="20" t="s">
        <v>463</v>
      </c>
      <c r="C13" s="24">
        <f t="shared" ref="C13:I13" si="2">C12/C7-1</f>
        <v>2.9668678400000008</v>
      </c>
      <c r="D13" s="24">
        <f t="shared" si="2"/>
        <v>0.31936000000000031</v>
      </c>
      <c r="E13" s="24">
        <f t="shared" si="2"/>
        <v>1.5936842105264137E-3</v>
      </c>
      <c r="F13" s="24">
        <f t="shared" si="2"/>
        <v>1.658096644295326E-2</v>
      </c>
      <c r="G13" s="24">
        <f t="shared" si="2"/>
        <v>2.9665714285714406E-2</v>
      </c>
      <c r="H13" s="24">
        <f t="shared" si="2"/>
        <v>3.570659310344837E-2</v>
      </c>
      <c r="I13" s="24">
        <f t="shared" si="2"/>
        <v>4.706629370629356E-2</v>
      </c>
    </row>
    <row r="15" spans="1:14" ht="15" customHeight="1" x14ac:dyDescent="0.25">
      <c r="A15" s="16" t="s">
        <v>464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4" ht="15" customHeight="1" x14ac:dyDescent="0.25">
      <c r="A16" s="20" t="s">
        <v>465</v>
      </c>
      <c r="C16" s="27">
        <f t="shared" ref="C16:I16" si="3">C7*C8</f>
        <v>467.52</v>
      </c>
      <c r="D16" s="27">
        <f t="shared" si="3"/>
        <v>2225.50806306816</v>
      </c>
      <c r="E16" s="27">
        <f t="shared" si="3"/>
        <v>2936.2463180896084</v>
      </c>
      <c r="F16" s="27">
        <f t="shared" si="3"/>
        <v>2695.8486201945507</v>
      </c>
      <c r="G16" s="27">
        <f t="shared" si="3"/>
        <v>2366.8372508329221</v>
      </c>
      <c r="H16" s="27">
        <f t="shared" si="3"/>
        <v>2180.5194665319787</v>
      </c>
      <c r="I16" s="27">
        <f t="shared" si="3"/>
        <v>2125.5326003553732</v>
      </c>
    </row>
    <row r="17" spans="1:12" ht="15" customHeight="1" x14ac:dyDescent="0.25">
      <c r="A17" s="20" t="s">
        <v>466</v>
      </c>
      <c r="C17" s="27">
        <f t="shared" ref="C17:I17" si="4">C7*(1+C8)*C9</f>
        <v>5851.4803199999997</v>
      </c>
      <c r="D17" s="27">
        <f t="shared" si="4"/>
        <v>574.92291629260808</v>
      </c>
      <c r="E17" s="27">
        <f t="shared" si="4"/>
        <v>-3034.1211953592624</v>
      </c>
      <c r="F17" s="27">
        <f t="shared" si="4"/>
        <v>-2690.9470772487425</v>
      </c>
      <c r="G17" s="27">
        <f t="shared" si="4"/>
        <v>-2075.3425578356046</v>
      </c>
      <c r="H17" s="27">
        <f t="shared" si="4"/>
        <v>-1800.8525476534692</v>
      </c>
      <c r="I17" s="27">
        <f t="shared" si="4"/>
        <v>-1541.0111352576457</v>
      </c>
    </row>
    <row r="18" spans="1:12" ht="15" customHeight="1" x14ac:dyDescent="0.25">
      <c r="A18" s="20" t="s">
        <v>467</v>
      </c>
      <c r="C18" s="27">
        <f t="shared" ref="C18:I18" si="5">C7*(1+C8)*(1+C9)*C10</f>
        <v>259.69800959999998</v>
      </c>
      <c r="D18" s="27">
        <f t="shared" si="5"/>
        <v>482.93524968579084</v>
      </c>
      <c r="E18" s="27">
        <f t="shared" si="5"/>
        <v>364.09454344311149</v>
      </c>
      <c r="F18" s="27">
        <f t="shared" si="5"/>
        <v>367.76276722399479</v>
      </c>
      <c r="G18" s="27">
        <f t="shared" si="5"/>
        <v>254.97065710551709</v>
      </c>
      <c r="H18" s="27">
        <f t="shared" si="5"/>
        <v>264.12504032250882</v>
      </c>
      <c r="I18" s="27">
        <f t="shared" si="5"/>
        <v>138.69100217318811</v>
      </c>
    </row>
    <row r="19" spans="1:12" ht="15" customHeight="1" x14ac:dyDescent="0.25">
      <c r="A19" s="20" t="s">
        <v>468</v>
      </c>
      <c r="C19" s="27">
        <f t="shared" ref="C19:I19" si="6">C7*(1+C8)*(1+C9)*(1+C10)*C11</f>
        <v>356.65193318400031</v>
      </c>
      <c r="D19" s="27">
        <f t="shared" si="6"/>
        <v>-321.95683312386086</v>
      </c>
      <c r="E19" s="27">
        <f t="shared" si="6"/>
        <v>-246.72196035947695</v>
      </c>
      <c r="F19" s="27">
        <f t="shared" si="6"/>
        <v>-169.48351241195263</v>
      </c>
      <c r="G19" s="27">
        <f t="shared" si="6"/>
        <v>-176.91841513444064</v>
      </c>
      <c r="H19" s="27">
        <f t="shared" si="6"/>
        <v>-185.79830422686865</v>
      </c>
      <c r="I19" s="27">
        <f t="shared" si="6"/>
        <v>-97.95658195448928</v>
      </c>
    </row>
    <row r="20" spans="1:12" ht="15" customHeight="1" x14ac:dyDescent="0.25">
      <c r="A20" s="18" t="s">
        <v>469</v>
      </c>
      <c r="C20" s="27">
        <f t="shared" ref="C20:I20" si="7">SUM(C16:C19)</f>
        <v>6935.3502627839989</v>
      </c>
      <c r="D20" s="27">
        <f t="shared" si="7"/>
        <v>2961.4093959226984</v>
      </c>
      <c r="E20" s="27">
        <f t="shared" si="7"/>
        <v>19.497705813980531</v>
      </c>
      <c r="F20" s="27">
        <f t="shared" si="7"/>
        <v>203.18079775785031</v>
      </c>
      <c r="G20" s="27">
        <f t="shared" si="7"/>
        <v>369.54693496839405</v>
      </c>
      <c r="H20" s="27">
        <f t="shared" si="7"/>
        <v>457.99365497414959</v>
      </c>
      <c r="I20" s="27">
        <f t="shared" si="7"/>
        <v>625.25588531642632</v>
      </c>
    </row>
    <row r="21" spans="1:12" ht="15" customHeight="1" x14ac:dyDescent="0.25">
      <c r="A21" s="20" t="s">
        <v>470</v>
      </c>
      <c r="C21" s="67" t="str">
        <f t="shared" ref="C21:I21" si="8">IF(ABS(C20-(C12-C7))&lt;0.5,"OK","CHECK")</f>
        <v>OK</v>
      </c>
      <c r="D21" s="67" t="str">
        <f t="shared" si="8"/>
        <v>OK</v>
      </c>
      <c r="E21" s="67" t="str">
        <f t="shared" si="8"/>
        <v>OK</v>
      </c>
      <c r="F21" s="67" t="str">
        <f t="shared" si="8"/>
        <v>OK</v>
      </c>
      <c r="G21" s="67" t="str">
        <f t="shared" si="8"/>
        <v>OK</v>
      </c>
      <c r="H21" s="67" t="str">
        <f t="shared" si="8"/>
        <v>OK</v>
      </c>
      <c r="I21" s="67" t="str">
        <f t="shared" si="8"/>
        <v>OK</v>
      </c>
    </row>
    <row r="23" spans="1:12" ht="15" customHeight="1" x14ac:dyDescent="0.25">
      <c r="A23" s="16" t="s">
        <v>471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5" customHeight="1" x14ac:dyDescent="0.25">
      <c r="C24" s="42" t="s">
        <v>31</v>
      </c>
      <c r="D24" s="42" t="s">
        <v>32</v>
      </c>
      <c r="E24" s="42" t="s">
        <v>46</v>
      </c>
      <c r="F24" s="42" t="s">
        <v>98</v>
      </c>
      <c r="G24" s="42" t="s">
        <v>47</v>
      </c>
      <c r="H24" s="42" t="s">
        <v>99</v>
      </c>
      <c r="I24" s="42" t="s">
        <v>100</v>
      </c>
    </row>
    <row r="25" spans="1:12" ht="15" customHeight="1" x14ac:dyDescent="0.25">
      <c r="A25" s="20" t="s">
        <v>184</v>
      </c>
      <c r="C25" s="24">
        <f>Assumptions!C104</f>
        <v>0.21</v>
      </c>
      <c r="D25" s="24">
        <f>Assumptions!D104</f>
        <v>0.23</v>
      </c>
      <c r="E25" s="24">
        <f>Assumptions!E104</f>
        <v>0.22</v>
      </c>
      <c r="F25" s="24">
        <f>Assumptions!F104</f>
        <v>0.2</v>
      </c>
      <c r="G25" s="24">
        <f>Assumptions!G104</f>
        <v>0.18</v>
      </c>
      <c r="H25" s="24">
        <f>Assumptions!H104</f>
        <v>0.17</v>
      </c>
      <c r="I25" s="24">
        <f>Assumptions!I104</f>
        <v>0.16</v>
      </c>
    </row>
    <row r="26" spans="1:12" ht="15" customHeight="1" x14ac:dyDescent="0.25">
      <c r="A26" s="20" t="s">
        <v>187</v>
      </c>
      <c r="C26" s="24">
        <f>Assumptions!C105</f>
        <v>0.18</v>
      </c>
      <c r="D26" s="24">
        <f>Assumptions!D105</f>
        <v>0.2</v>
      </c>
      <c r="E26" s="24">
        <f>Assumptions!E105</f>
        <v>0.22</v>
      </c>
      <c r="F26" s="24">
        <f>Assumptions!F105</f>
        <v>0.21</v>
      </c>
      <c r="G26" s="24">
        <f>Assumptions!G105</f>
        <v>0.19</v>
      </c>
      <c r="H26" s="24">
        <f>Assumptions!H105</f>
        <v>0.18</v>
      </c>
      <c r="I26" s="24">
        <f>Assumptions!I105</f>
        <v>0.17</v>
      </c>
    </row>
    <row r="27" spans="1:12" ht="15" customHeight="1" x14ac:dyDescent="0.25">
      <c r="A27" s="20" t="s">
        <v>190</v>
      </c>
      <c r="C27" s="24">
        <f t="shared" ref="C27:I27" si="9">C8</f>
        <v>0.2</v>
      </c>
      <c r="D27" s="24">
        <f t="shared" si="9"/>
        <v>0.24</v>
      </c>
      <c r="E27" s="24">
        <f t="shared" si="9"/>
        <v>0.24</v>
      </c>
      <c r="F27" s="24">
        <f t="shared" si="9"/>
        <v>0.22</v>
      </c>
      <c r="G27" s="24">
        <f t="shared" si="9"/>
        <v>0.19</v>
      </c>
      <c r="H27" s="24">
        <f t="shared" si="9"/>
        <v>0.17</v>
      </c>
      <c r="I27" s="24">
        <f t="shared" si="9"/>
        <v>0.16</v>
      </c>
    </row>
    <row r="28" spans="1:12" ht="15" customHeight="1" x14ac:dyDescent="0.25">
      <c r="A28" s="20" t="s">
        <v>472</v>
      </c>
      <c r="C28" s="24">
        <f t="shared" ref="C28:I28" si="10">(1+C27)/(1+C26)-1</f>
        <v>1.6949152542372836E-2</v>
      </c>
      <c r="D28" s="24">
        <f t="shared" si="10"/>
        <v>3.3333333333333437E-2</v>
      </c>
      <c r="E28" s="24">
        <f t="shared" si="10"/>
        <v>1.6393442622950838E-2</v>
      </c>
      <c r="F28" s="24">
        <f t="shared" si="10"/>
        <v>8.2644628099173278E-3</v>
      </c>
      <c r="G28" s="24">
        <f t="shared" si="10"/>
        <v>0</v>
      </c>
      <c r="H28" s="24">
        <f t="shared" si="10"/>
        <v>-8.4745762711864181E-3</v>
      </c>
      <c r="I28" s="24">
        <f t="shared" si="10"/>
        <v>-8.5470085470085166E-3</v>
      </c>
    </row>
    <row r="29" spans="1:12" ht="15" customHeight="1" x14ac:dyDescent="0.25">
      <c r="A29" s="20" t="s">
        <v>473</v>
      </c>
      <c r="B29" s="52">
        <v>0.16</v>
      </c>
      <c r="C29" s="24">
        <f>$B$29*(1+C28)</f>
        <v>0.16271186440677965</v>
      </c>
      <c r="D29" s="24">
        <f t="shared" ref="D29:I29" si="11">C29*(1+D28)</f>
        <v>0.168135593220339</v>
      </c>
      <c r="E29" s="24">
        <f t="shared" si="11"/>
        <v>0.17089191442067242</v>
      </c>
      <c r="F29" s="24">
        <f t="shared" si="11"/>
        <v>0.17230424429191765</v>
      </c>
      <c r="G29" s="24">
        <f t="shared" si="11"/>
        <v>0.17230424429191765</v>
      </c>
      <c r="H29" s="24">
        <f t="shared" si="11"/>
        <v>0.17084403883181665</v>
      </c>
      <c r="I29" s="24">
        <f t="shared" si="11"/>
        <v>0.16938383337171564</v>
      </c>
      <c r="K29" s="35" t="s">
        <v>474</v>
      </c>
    </row>
    <row r="31" spans="1:12" ht="37.5" customHeight="1" x14ac:dyDescent="0.25">
      <c r="A31" s="107" t="s">
        <v>475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</row>
  </sheetData>
  <mergeCells count="2">
    <mergeCell ref="A5:K5"/>
    <mergeCell ref="A31:K31"/>
  </mergeCells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0"/>
  <sheetViews>
    <sheetView showGridLines="0" zoomScaleNormal="100" workbookViewId="0"/>
  </sheetViews>
  <sheetFormatPr defaultColWidth="8.7109375" defaultRowHeight="15" x14ac:dyDescent="0.25"/>
  <cols>
    <col min="1" max="1" width="42" style="1" customWidth="1"/>
    <col min="2" max="2" width="4" style="1" customWidth="1"/>
    <col min="3" max="12" width="10.5703125" style="1" customWidth="1"/>
    <col min="13" max="13" width="2" style="1" customWidth="1"/>
    <col min="14" max="14" width="52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476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477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478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C6" s="42" t="s">
        <v>245</v>
      </c>
      <c r="D6" s="42" t="s">
        <v>246</v>
      </c>
      <c r="E6" s="42" t="s">
        <v>30</v>
      </c>
      <c r="F6" s="68" t="s">
        <v>31</v>
      </c>
      <c r="G6" s="42" t="s">
        <v>32</v>
      </c>
      <c r="H6" s="42" t="s">
        <v>46</v>
      </c>
      <c r="I6" s="42" t="s">
        <v>98</v>
      </c>
      <c r="J6" s="42" t="s">
        <v>47</v>
      </c>
      <c r="K6" s="42" t="s">
        <v>99</v>
      </c>
      <c r="L6" s="42" t="s">
        <v>100</v>
      </c>
    </row>
    <row r="7" spans="1:14" ht="15" customHeight="1" x14ac:dyDescent="0.25">
      <c r="A7" s="18" t="s">
        <v>250</v>
      </c>
      <c r="C7" s="69">
        <f>'Historical Financials'!C7</f>
        <v>1076.5999999999999</v>
      </c>
      <c r="D7" s="69">
        <f>'Historical Financials'!D7</f>
        <v>1706.5</v>
      </c>
      <c r="E7" s="69">
        <f>'Historical Financials'!E7</f>
        <v>2337.6</v>
      </c>
      <c r="F7" s="27">
        <f>'Revenue Build'!C12</f>
        <v>9272.9502627840011</v>
      </c>
      <c r="G7" s="27">
        <f>'Revenue Build'!D12</f>
        <v>12234.359658706702</v>
      </c>
      <c r="H7" s="27">
        <f>'Revenue Build'!E12</f>
        <v>12253.857364520685</v>
      </c>
      <c r="I7" s="27">
        <f>'Revenue Build'!F12</f>
        <v>12457.038162278537</v>
      </c>
      <c r="J7" s="27">
        <f>'Revenue Build'!G12</f>
        <v>12826.585097246932</v>
      </c>
      <c r="K7" s="27">
        <f>'Revenue Build'!H12</f>
        <v>13284.578752221083</v>
      </c>
      <c r="L7" s="27">
        <f>'Revenue Build'!I12</f>
        <v>13909.834637537508</v>
      </c>
    </row>
    <row r="8" spans="1:14" ht="15" customHeight="1" x14ac:dyDescent="0.25">
      <c r="A8" s="20" t="s">
        <v>479</v>
      </c>
      <c r="C8" s="28"/>
      <c r="D8" s="28">
        <f t="shared" ref="D8:L8" si="0">(D7-C7)/C7</f>
        <v>0.58508266765744021</v>
      </c>
      <c r="E8" s="28">
        <f t="shared" si="0"/>
        <v>0.36982127160855549</v>
      </c>
      <c r="F8" s="24">
        <f t="shared" si="0"/>
        <v>2.9668678400000004</v>
      </c>
      <c r="G8" s="24">
        <f t="shared" si="0"/>
        <v>0.31936000000000025</v>
      </c>
      <c r="H8" s="24">
        <f t="shared" si="0"/>
        <v>1.5936842105264775E-3</v>
      </c>
      <c r="I8" s="24">
        <f t="shared" si="0"/>
        <v>1.6580966442953159E-2</v>
      </c>
      <c r="J8" s="24">
        <f t="shared" si="0"/>
        <v>2.9665714285714361E-2</v>
      </c>
      <c r="K8" s="24">
        <f t="shared" si="0"/>
        <v>3.5706593103448342E-2</v>
      </c>
      <c r="L8" s="24">
        <f t="shared" si="0"/>
        <v>4.7066293706293581E-2</v>
      </c>
    </row>
    <row r="9" spans="1:14" ht="15" customHeight="1" x14ac:dyDescent="0.25">
      <c r="A9" s="20" t="s">
        <v>254</v>
      </c>
      <c r="C9" s="69">
        <f>'Historical Financials'!C11</f>
        <v>1205.9000000000001</v>
      </c>
      <c r="D9" s="69">
        <f>'Historical Financials'!D11</f>
        <v>1137</v>
      </c>
      <c r="E9" s="69">
        <f>'Historical Financials'!E11</f>
        <v>1324.7</v>
      </c>
      <c r="F9" s="27">
        <f t="shared" ref="F9:L9" si="1">F7-F10</f>
        <v>1719.9174896803843</v>
      </c>
      <c r="G9" s="27">
        <f t="shared" si="1"/>
        <v>3837.5600627314088</v>
      </c>
      <c r="H9" s="27">
        <f t="shared" si="1"/>
        <v>6506.1273790603418</v>
      </c>
      <c r="I9" s="27">
        <f t="shared" si="1"/>
        <v>7441.201545191374</v>
      </c>
      <c r="J9" s="27">
        <f t="shared" si="1"/>
        <v>7673.3410670776366</v>
      </c>
      <c r="K9" s="27">
        <f t="shared" si="1"/>
        <v>7822.9711874465338</v>
      </c>
      <c r="L9" s="27">
        <f t="shared" si="1"/>
        <v>8193.9816082051075</v>
      </c>
    </row>
    <row r="10" spans="1:14" ht="15" customHeight="1" x14ac:dyDescent="0.25">
      <c r="A10" s="18" t="s">
        <v>480</v>
      </c>
      <c r="C10" s="69">
        <f>'Historical Financials'!C12</f>
        <v>-129.30000000000018</v>
      </c>
      <c r="D10" s="69">
        <f>'Historical Financials'!D12</f>
        <v>569.5</v>
      </c>
      <c r="E10" s="69">
        <f>'Historical Financials'!E12</f>
        <v>1012.8999999999999</v>
      </c>
      <c r="F10" s="27">
        <f t="shared" ref="F10:L10" si="2">F13+F12</f>
        <v>7553.0327731036168</v>
      </c>
      <c r="G10" s="27">
        <f t="shared" si="2"/>
        <v>8396.7995959752934</v>
      </c>
      <c r="H10" s="27">
        <f t="shared" si="2"/>
        <v>5747.7299854603434</v>
      </c>
      <c r="I10" s="27">
        <f t="shared" si="2"/>
        <v>5015.8366170871632</v>
      </c>
      <c r="J10" s="27">
        <f t="shared" si="2"/>
        <v>5153.2440301692959</v>
      </c>
      <c r="K10" s="27">
        <f t="shared" si="2"/>
        <v>5461.6075647745492</v>
      </c>
      <c r="L10" s="27">
        <f t="shared" si="2"/>
        <v>5715.8530293324002</v>
      </c>
    </row>
    <row r="11" spans="1:14" ht="15" customHeight="1" x14ac:dyDescent="0.25">
      <c r="A11" s="20" t="s">
        <v>481</v>
      </c>
      <c r="C11" s="28">
        <f t="shared" ref="C11:L11" si="3">C10/C7</f>
        <v>-0.12010031580902861</v>
      </c>
      <c r="D11" s="28">
        <f t="shared" si="3"/>
        <v>0.33372399648403167</v>
      </c>
      <c r="E11" s="28">
        <f t="shared" si="3"/>
        <v>0.43330766598220394</v>
      </c>
      <c r="F11" s="24">
        <f t="shared" si="3"/>
        <v>0.81452316243050604</v>
      </c>
      <c r="G11" s="24">
        <f t="shared" si="3"/>
        <v>0.6863293078031778</v>
      </c>
      <c r="H11" s="24">
        <f t="shared" si="3"/>
        <v>0.46905474859713026</v>
      </c>
      <c r="I11" s="24">
        <f t="shared" si="3"/>
        <v>0.40265081889816645</v>
      </c>
      <c r="J11" s="24">
        <f t="shared" si="3"/>
        <v>0.40176274441709164</v>
      </c>
      <c r="K11" s="24">
        <f t="shared" si="3"/>
        <v>0.41112388030078928</v>
      </c>
      <c r="L11" s="24">
        <f t="shared" si="3"/>
        <v>0.41092170958721702</v>
      </c>
    </row>
    <row r="12" spans="1:14" ht="15" customHeight="1" x14ac:dyDescent="0.25">
      <c r="A12" s="20" t="s">
        <v>482</v>
      </c>
      <c r="C12" s="69">
        <f>'Historical Financials'!C14</f>
        <v>128.80000000000001</v>
      </c>
      <c r="D12" s="69">
        <f>'Historical Financials'!D14</f>
        <v>127.9</v>
      </c>
      <c r="E12" s="69">
        <f>'Historical Financials'!E14</f>
        <v>146.6</v>
      </c>
      <c r="F12" s="27">
        <f>F7*Assumptions!C78</f>
        <v>370.91801051136002</v>
      </c>
      <c r="G12" s="27">
        <f>G7*Assumptions!D78</f>
        <v>428.20258805473463</v>
      </c>
      <c r="H12" s="27">
        <f>H7*Assumptions!E78</f>
        <v>490.15429458082741</v>
      </c>
      <c r="I12" s="27">
        <f>I7*Assumptions!F78</f>
        <v>560.56671730253413</v>
      </c>
      <c r="J12" s="27">
        <f>J7*Assumptions!G78</f>
        <v>577.19632937611198</v>
      </c>
      <c r="K12" s="27">
        <f>K7*Assumptions!H78</f>
        <v>597.80604384994876</v>
      </c>
      <c r="L12" s="27">
        <f>L7*Assumptions!I78</f>
        <v>625.94255868918788</v>
      </c>
    </row>
    <row r="13" spans="1:14" ht="15" customHeight="1" x14ac:dyDescent="0.25">
      <c r="A13" s="18" t="s">
        <v>483</v>
      </c>
      <c r="C13" s="69">
        <f>'Historical Financials'!C17</f>
        <v>-252.7</v>
      </c>
      <c r="D13" s="69">
        <f>'Historical Financials'!D17</f>
        <v>451.7</v>
      </c>
      <c r="E13" s="69">
        <f>'Historical Financials'!E17</f>
        <v>870.4</v>
      </c>
      <c r="F13" s="27">
        <f t="shared" ref="F13:L13" si="4">F15-F17</f>
        <v>7182.1147625922567</v>
      </c>
      <c r="G13" s="27">
        <f t="shared" si="4"/>
        <v>7968.5970079205581</v>
      </c>
      <c r="H13" s="27">
        <f t="shared" si="4"/>
        <v>5257.5756908795156</v>
      </c>
      <c r="I13" s="27">
        <f t="shared" si="4"/>
        <v>4455.2698997846292</v>
      </c>
      <c r="J13" s="27">
        <f t="shared" si="4"/>
        <v>4576.047700793184</v>
      </c>
      <c r="K13" s="27">
        <f t="shared" si="4"/>
        <v>4863.8015209246005</v>
      </c>
      <c r="L13" s="27">
        <f t="shared" si="4"/>
        <v>5089.9104706432126</v>
      </c>
    </row>
    <row r="14" spans="1:14" ht="15" customHeight="1" x14ac:dyDescent="0.25">
      <c r="A14" s="20" t="s">
        <v>484</v>
      </c>
      <c r="C14" s="28">
        <f t="shared" ref="C14:L14" si="5">C13/C7</f>
        <v>-0.23472041612483746</v>
      </c>
      <c r="D14" s="28">
        <f t="shared" si="5"/>
        <v>0.26469381775564021</v>
      </c>
      <c r="E14" s="28">
        <f t="shared" si="5"/>
        <v>0.37234770704996578</v>
      </c>
      <c r="F14" s="24">
        <f t="shared" si="5"/>
        <v>0.77452316243050601</v>
      </c>
      <c r="G14" s="24">
        <f t="shared" si="5"/>
        <v>0.65132930780317777</v>
      </c>
      <c r="H14" s="24">
        <f t="shared" si="5"/>
        <v>0.42905474859713022</v>
      </c>
      <c r="I14" s="24">
        <f t="shared" si="5"/>
        <v>0.35765081889816647</v>
      </c>
      <c r="J14" s="24">
        <f t="shared" si="5"/>
        <v>0.35676274441709166</v>
      </c>
      <c r="K14" s="24">
        <f t="shared" si="5"/>
        <v>0.3661238803007893</v>
      </c>
      <c r="L14" s="24">
        <f t="shared" si="5"/>
        <v>0.36592170958721709</v>
      </c>
    </row>
    <row r="15" spans="1:14" ht="15" customHeight="1" x14ac:dyDescent="0.25">
      <c r="A15" s="18" t="s">
        <v>485</v>
      </c>
      <c r="C15" s="69">
        <f>'Historical Financials'!C21</f>
        <v>93.400000000000034</v>
      </c>
      <c r="D15" s="69">
        <f>'Historical Financials'!D21</f>
        <v>764</v>
      </c>
      <c r="E15" s="69">
        <f>'Historical Financials'!E21</f>
        <v>1183.2</v>
      </c>
      <c r="F15" s="27">
        <f>F7*Assumptions!C71</f>
        <v>7501.816762592257</v>
      </c>
      <c r="G15" s="27">
        <f>G7*Assumptions!D71</f>
        <v>8319.3645679205583</v>
      </c>
      <c r="H15" s="27">
        <f>H7*Assumptions!E71</f>
        <v>5636.7743876795157</v>
      </c>
      <c r="I15" s="27">
        <f>I7*Assumptions!F71</f>
        <v>4858.2448832886294</v>
      </c>
      <c r="J15" s="27">
        <f>J7*Assumptions!G71</f>
        <v>5002.368187926304</v>
      </c>
      <c r="K15" s="27">
        <f>K7*Assumptions!H71</f>
        <v>5313.8315008884338</v>
      </c>
      <c r="L15" s="27">
        <f>L7*Assumptions!I71</f>
        <v>5563.9338550150032</v>
      </c>
    </row>
    <row r="16" spans="1:14" ht="15" customHeight="1" x14ac:dyDescent="0.25">
      <c r="A16" s="20" t="s">
        <v>486</v>
      </c>
      <c r="C16" s="28">
        <f t="shared" ref="C16:L16" si="6">C15/C7</f>
        <v>8.6754597807913836E-2</v>
      </c>
      <c r="D16" s="28">
        <f t="shared" si="6"/>
        <v>0.44769997070026368</v>
      </c>
      <c r="E16" s="28">
        <f t="shared" si="6"/>
        <v>0.50616016427104726</v>
      </c>
      <c r="F16" s="24">
        <f t="shared" si="6"/>
        <v>0.80900000000000005</v>
      </c>
      <c r="G16" s="24">
        <f t="shared" si="6"/>
        <v>0.68</v>
      </c>
      <c r="H16" s="24">
        <f t="shared" si="6"/>
        <v>0.46</v>
      </c>
      <c r="I16" s="24">
        <f t="shared" si="6"/>
        <v>0.39</v>
      </c>
      <c r="J16" s="24">
        <f t="shared" si="6"/>
        <v>0.39</v>
      </c>
      <c r="K16" s="24">
        <f t="shared" si="6"/>
        <v>0.4</v>
      </c>
      <c r="L16" s="24">
        <f t="shared" si="6"/>
        <v>0.4</v>
      </c>
    </row>
    <row r="17" spans="1:12" ht="15" customHeight="1" x14ac:dyDescent="0.25">
      <c r="A17" s="20" t="s">
        <v>262</v>
      </c>
      <c r="C17" s="69">
        <f>'Historical Financials'!C20</f>
        <v>346.1</v>
      </c>
      <c r="D17" s="69">
        <f>'Historical Financials'!D20</f>
        <v>312.3</v>
      </c>
      <c r="E17" s="69">
        <f>'Historical Financials'!E20</f>
        <v>312.8</v>
      </c>
      <c r="F17" s="27">
        <f>'Cash Flow Model'!E10</f>
        <v>319.702</v>
      </c>
      <c r="G17" s="27">
        <f>'Cash Flow Model'!F10</f>
        <v>350.76756</v>
      </c>
      <c r="H17" s="27">
        <f>'Cash Flow Model'!G10</f>
        <v>379.19869679999999</v>
      </c>
      <c r="I17" s="27">
        <f>'Cash Flow Model'!H10</f>
        <v>402.97498350399997</v>
      </c>
      <c r="J17" s="27">
        <f>'Cash Flow Model'!I10</f>
        <v>426.32048713311997</v>
      </c>
      <c r="K17" s="27">
        <f>'Cash Flow Model'!J10</f>
        <v>450.02997996383357</v>
      </c>
      <c r="L17" s="27">
        <f>'Cash Flow Model'!K10</f>
        <v>474.0233843717902</v>
      </c>
    </row>
    <row r="18" spans="1:12" ht="15" customHeight="1" x14ac:dyDescent="0.25">
      <c r="A18" s="20" t="s">
        <v>266</v>
      </c>
      <c r="C18" s="69">
        <f>'Historical Financials'!C25</f>
        <v>92.7</v>
      </c>
      <c r="D18" s="69">
        <f>'Historical Financials'!D25</f>
        <v>85.3</v>
      </c>
      <c r="E18" s="69">
        <f>'Historical Financials'!E25</f>
        <v>96.7</v>
      </c>
      <c r="F18" s="27">
        <f>'Cash Flow Model'!E25</f>
        <v>33.142399999999995</v>
      </c>
      <c r="G18" s="27">
        <f>'Cash Flow Model'!F25</f>
        <v>20.482399999999998</v>
      </c>
      <c r="H18" s="27">
        <f>'Cash Flow Model'!G25</f>
        <v>18.0824</v>
      </c>
      <c r="I18" s="27">
        <f>'Cash Flow Model'!H25</f>
        <v>15.682399999999998</v>
      </c>
      <c r="J18" s="27">
        <f>'Cash Flow Model'!I25</f>
        <v>14.482399999999998</v>
      </c>
      <c r="K18" s="27">
        <f>'Cash Flow Model'!J25</f>
        <v>13.282399999999999</v>
      </c>
      <c r="L18" s="27">
        <f>'Cash Flow Model'!K25</f>
        <v>13.282399999999999</v>
      </c>
    </row>
    <row r="19" spans="1:12" ht="15" customHeight="1" x14ac:dyDescent="0.25">
      <c r="A19" s="20" t="s">
        <v>265</v>
      </c>
      <c r="C19" s="69">
        <f>'Historical Financials'!C24</f>
        <v>1.8</v>
      </c>
      <c r="D19" s="69">
        <f>'Historical Financials'!D24</f>
        <v>3.7</v>
      </c>
      <c r="E19" s="69">
        <f>'Historical Financials'!E24</f>
        <v>9.5</v>
      </c>
      <c r="F19" s="40">
        <v>10</v>
      </c>
      <c r="G19" s="40">
        <v>10</v>
      </c>
      <c r="H19" s="40">
        <v>10</v>
      </c>
      <c r="I19" s="40">
        <v>10</v>
      </c>
      <c r="J19" s="40">
        <v>10</v>
      </c>
      <c r="K19" s="40">
        <v>10</v>
      </c>
      <c r="L19" s="40">
        <v>10</v>
      </c>
    </row>
    <row r="20" spans="1:12" ht="15" customHeight="1" x14ac:dyDescent="0.25">
      <c r="A20" s="20" t="s">
        <v>487</v>
      </c>
      <c r="C20" s="69">
        <f>'Historical Financials'!C26</f>
        <v>0.3</v>
      </c>
      <c r="D20" s="69">
        <f>'Historical Financials'!D26</f>
        <v>0.5</v>
      </c>
      <c r="E20" s="69">
        <f>'Historical Financials'!E26</f>
        <v>0.9</v>
      </c>
      <c r="F20" s="40">
        <v>1</v>
      </c>
      <c r="G20" s="40">
        <v>1</v>
      </c>
      <c r="H20" s="40">
        <v>1</v>
      </c>
      <c r="I20" s="40">
        <v>1</v>
      </c>
      <c r="J20" s="40">
        <v>1</v>
      </c>
      <c r="K20" s="40">
        <v>1</v>
      </c>
      <c r="L20" s="40">
        <v>1</v>
      </c>
    </row>
    <row r="21" spans="1:12" ht="15" customHeight="1" x14ac:dyDescent="0.25">
      <c r="A21" s="18" t="s">
        <v>488</v>
      </c>
      <c r="C21" s="69">
        <f>'Historical Financials'!C27</f>
        <v>-343.3</v>
      </c>
      <c r="D21" s="69">
        <f>'Historical Financials'!D27</f>
        <v>370.7</v>
      </c>
      <c r="E21" s="69">
        <f>'Historical Financials'!E27</f>
        <v>784.1</v>
      </c>
      <c r="F21" s="27">
        <f t="shared" ref="F21:L21" si="7">F13-F18+F19+F20</f>
        <v>7159.972362592257</v>
      </c>
      <c r="G21" s="27">
        <f t="shared" si="7"/>
        <v>7959.1146079205582</v>
      </c>
      <c r="H21" s="27">
        <f t="shared" si="7"/>
        <v>5250.4932908795154</v>
      </c>
      <c r="I21" s="27">
        <f t="shared" si="7"/>
        <v>4450.5874997846295</v>
      </c>
      <c r="J21" s="27">
        <f t="shared" si="7"/>
        <v>4572.5653007931842</v>
      </c>
      <c r="K21" s="27">
        <f t="shared" si="7"/>
        <v>4861.5191209246004</v>
      </c>
      <c r="L21" s="27">
        <f t="shared" si="7"/>
        <v>5087.6280706432126</v>
      </c>
    </row>
    <row r="22" spans="1:12" ht="15" customHeight="1" x14ac:dyDescent="0.25">
      <c r="A22" s="20" t="s">
        <v>489</v>
      </c>
      <c r="C22" s="69">
        <f>'Historical Financials'!C28</f>
        <v>-99.6</v>
      </c>
      <c r="D22" s="69">
        <f>'Historical Financials'!D28</f>
        <v>98.3</v>
      </c>
      <c r="E22" s="69">
        <f>'Historical Financials'!E28</f>
        <v>229.6</v>
      </c>
      <c r="F22" s="27">
        <f>F21*Assumptions!C75</f>
        <v>1861.592814273987</v>
      </c>
      <c r="G22" s="27">
        <f>G21*Assumptions!D75</f>
        <v>2148.960944138551</v>
      </c>
      <c r="H22" s="27">
        <f>H21*Assumptions!E75</f>
        <v>1470.1381214462644</v>
      </c>
      <c r="I22" s="27">
        <f>I21*Assumptions!F75</f>
        <v>1246.1644999396963</v>
      </c>
      <c r="J22" s="27">
        <f>J21*Assumptions!G75</f>
        <v>1280.3182842220917</v>
      </c>
      <c r="K22" s="27">
        <f>K21*Assumptions!H75</f>
        <v>1361.2253538588882</v>
      </c>
      <c r="L22" s="27">
        <f>L21*Assumptions!I75</f>
        <v>1424.5358597800996</v>
      </c>
    </row>
    <row r="23" spans="1:12" ht="15" customHeight="1" x14ac:dyDescent="0.25">
      <c r="A23" s="20" t="s">
        <v>490</v>
      </c>
      <c r="C23" s="28">
        <f t="shared" ref="C23:L23" si="8">C22/C21</f>
        <v>0.29012525487911445</v>
      </c>
      <c r="D23" s="28">
        <f t="shared" si="8"/>
        <v>0.26517399514432155</v>
      </c>
      <c r="E23" s="28">
        <f t="shared" si="8"/>
        <v>0.29281979339369979</v>
      </c>
      <c r="F23" s="24">
        <f t="shared" si="8"/>
        <v>0.26</v>
      </c>
      <c r="G23" s="24">
        <f t="shared" si="8"/>
        <v>0.27</v>
      </c>
      <c r="H23" s="24">
        <f t="shared" si="8"/>
        <v>0.28000000000000003</v>
      </c>
      <c r="I23" s="24">
        <f t="shared" si="8"/>
        <v>0.28000000000000003</v>
      </c>
      <c r="J23" s="24">
        <f t="shared" si="8"/>
        <v>0.28000000000000003</v>
      </c>
      <c r="K23" s="24">
        <f t="shared" si="8"/>
        <v>0.28000000000000003</v>
      </c>
      <c r="L23" s="24">
        <f t="shared" si="8"/>
        <v>0.28000000000000003</v>
      </c>
    </row>
    <row r="24" spans="1:12" ht="15" customHeight="1" x14ac:dyDescent="0.25">
      <c r="A24" s="18" t="s">
        <v>491</v>
      </c>
      <c r="C24" s="69">
        <f>'Historical Financials'!C30</f>
        <v>-243.7</v>
      </c>
      <c r="D24" s="69">
        <f>'Historical Financials'!D30</f>
        <v>272.3</v>
      </c>
      <c r="E24" s="69">
        <f>'Historical Financials'!E30</f>
        <v>554.5</v>
      </c>
      <c r="F24" s="27">
        <f t="shared" ref="F24:L24" si="9">F21-F22</f>
        <v>5298.3795483182703</v>
      </c>
      <c r="G24" s="27">
        <f t="shared" si="9"/>
        <v>5810.1536637820072</v>
      </c>
      <c r="H24" s="27">
        <f t="shared" si="9"/>
        <v>3780.3551694332509</v>
      </c>
      <c r="I24" s="27">
        <f t="shared" si="9"/>
        <v>3204.4229998449332</v>
      </c>
      <c r="J24" s="27">
        <f t="shared" si="9"/>
        <v>3292.2470165710924</v>
      </c>
      <c r="K24" s="27">
        <f t="shared" si="9"/>
        <v>3500.293767065712</v>
      </c>
      <c r="L24" s="27">
        <f t="shared" si="9"/>
        <v>3663.092210863113</v>
      </c>
    </row>
    <row r="25" spans="1:12" ht="15" customHeight="1" x14ac:dyDescent="0.25">
      <c r="A25" s="20" t="s">
        <v>492</v>
      </c>
      <c r="C25" s="69">
        <f>'Historical Financials'!C31</f>
        <v>-243.7</v>
      </c>
      <c r="D25" s="69">
        <f>'Historical Financials'!D31</f>
        <v>272.3</v>
      </c>
      <c r="E25" s="69">
        <f>'Historical Financials'!E31</f>
        <v>554.5</v>
      </c>
      <c r="F25" s="27">
        <f t="shared" ref="F25:L25" si="10">F24</f>
        <v>5298.3795483182703</v>
      </c>
      <c r="G25" s="27">
        <f t="shared" si="10"/>
        <v>5810.1536637820072</v>
      </c>
      <c r="H25" s="27">
        <f t="shared" si="10"/>
        <v>3780.3551694332509</v>
      </c>
      <c r="I25" s="27">
        <f t="shared" si="10"/>
        <v>3204.4229998449332</v>
      </c>
      <c r="J25" s="27">
        <f t="shared" si="10"/>
        <v>3292.2470165710924</v>
      </c>
      <c r="K25" s="27">
        <f t="shared" si="10"/>
        <v>3500.293767065712</v>
      </c>
      <c r="L25" s="27">
        <f t="shared" si="10"/>
        <v>3663.092210863113</v>
      </c>
    </row>
    <row r="26" spans="1:12" ht="15" customHeight="1" x14ac:dyDescent="0.25">
      <c r="A26" s="20" t="s">
        <v>38</v>
      </c>
      <c r="C26" s="70">
        <f>'Historical Financials'!C32</f>
        <v>-470.97</v>
      </c>
      <c r="D26" s="70">
        <f>'Historical Financials'!D32</f>
        <v>519.96</v>
      </c>
      <c r="E26" s="70">
        <f>'Historical Financials'!E32</f>
        <v>1024.07</v>
      </c>
      <c r="F26" s="30">
        <f t="shared" ref="F26:L26" si="11">F25*1000/Basic_Shares</f>
        <v>9702.4636198662301</v>
      </c>
      <c r="G26" s="30">
        <f t="shared" si="11"/>
        <v>10639.631237171447</v>
      </c>
      <c r="H26" s="30">
        <f t="shared" si="11"/>
        <v>6922.6370378168476</v>
      </c>
      <c r="I26" s="30">
        <f t="shared" si="11"/>
        <v>5867.9823321691701</v>
      </c>
      <c r="J26" s="30">
        <f t="shared" si="11"/>
        <v>6028.8068483189318</v>
      </c>
      <c r="K26" s="30">
        <f t="shared" si="11"/>
        <v>6409.7848453644883</v>
      </c>
      <c r="L26" s="30">
        <f t="shared" si="11"/>
        <v>6707.9035369211315</v>
      </c>
    </row>
    <row r="27" spans="1:12" ht="15" customHeight="1" x14ac:dyDescent="0.25">
      <c r="A27" s="20" t="s">
        <v>273</v>
      </c>
      <c r="C27" s="70">
        <f>'Historical Financials'!C33</f>
        <v>-470.97</v>
      </c>
      <c r="D27" s="70">
        <f>'Historical Financials'!D33</f>
        <v>515.45000000000005</v>
      </c>
      <c r="E27" s="70">
        <f>'Historical Financials'!E33</f>
        <v>1009.15</v>
      </c>
      <c r="F27" s="30">
        <f t="shared" ref="F27:L27" si="12">F25*1000/Diluted_Shares</f>
        <v>9562.2912992960919</v>
      </c>
      <c r="G27" s="30">
        <f t="shared" si="12"/>
        <v>10485.919575993848</v>
      </c>
      <c r="H27" s="30">
        <f t="shared" si="12"/>
        <v>6822.6251092929697</v>
      </c>
      <c r="I27" s="30">
        <f t="shared" si="12"/>
        <v>5783.2070902522028</v>
      </c>
      <c r="J27" s="30">
        <f t="shared" si="12"/>
        <v>5941.7081608816825</v>
      </c>
      <c r="K27" s="30">
        <f t="shared" si="12"/>
        <v>6317.1821362659066</v>
      </c>
      <c r="L27" s="30">
        <f t="shared" si="12"/>
        <v>6610.9938816243412</v>
      </c>
    </row>
    <row r="29" spans="1:12" ht="15" customHeight="1" x14ac:dyDescent="0.25">
      <c r="A29" s="35" t="s">
        <v>493</v>
      </c>
    </row>
    <row r="30" spans="1:12" ht="15" customHeight="1" x14ac:dyDescent="0.25">
      <c r="A30" s="35" t="s">
        <v>494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6"/>
  <sheetViews>
    <sheetView showGridLines="0" topLeftCell="A94" zoomScaleNormal="100" workbookViewId="0">
      <selection activeCell="A94" sqref="A94"/>
    </sheetView>
  </sheetViews>
  <sheetFormatPr defaultColWidth="8.7109375" defaultRowHeight="15" x14ac:dyDescent="0.25"/>
  <cols>
    <col min="1" max="1" width="46" style="1" customWidth="1"/>
    <col min="2" max="2" width="4" style="1" customWidth="1"/>
    <col min="3" max="11" width="10.5703125" style="1" customWidth="1"/>
    <col min="12" max="12" width="2" style="1" customWidth="1"/>
    <col min="13" max="13" width="56" style="1" customWidth="1"/>
  </cols>
  <sheetData>
    <row r="1" spans="1:14" ht="21.75" customHeight="1" x14ac:dyDescent="0.25">
      <c r="A1" s="12" t="s">
        <v>0</v>
      </c>
      <c r="B1" s="2"/>
      <c r="C1" s="2"/>
      <c r="D1" s="2"/>
      <c r="E1" s="2"/>
      <c r="F1" s="2"/>
      <c r="G1" s="2"/>
      <c r="H1" s="13" t="s">
        <v>495</v>
      </c>
      <c r="I1" s="2"/>
      <c r="J1" s="2"/>
      <c r="K1" s="2"/>
      <c r="L1" s="2"/>
      <c r="M1" s="2"/>
      <c r="N1" s="2"/>
    </row>
    <row r="2" spans="1:14" ht="18" customHeight="1" x14ac:dyDescent="0.3">
      <c r="A2" s="14" t="s">
        <v>496</v>
      </c>
    </row>
    <row r="3" spans="1:14" ht="15" customHeight="1" x14ac:dyDescent="0.25">
      <c r="A3" s="15" t="s">
        <v>16</v>
      </c>
    </row>
    <row r="5" spans="1:14" ht="15" customHeight="1" x14ac:dyDescent="0.25">
      <c r="A5" s="16" t="s">
        <v>497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4" ht="15" customHeight="1" x14ac:dyDescent="0.25">
      <c r="C6" s="42" t="s">
        <v>246</v>
      </c>
      <c r="D6" s="42" t="s">
        <v>30</v>
      </c>
      <c r="E6" s="68" t="s">
        <v>31</v>
      </c>
      <c r="F6" s="42" t="s">
        <v>32</v>
      </c>
      <c r="G6" s="42" t="s">
        <v>46</v>
      </c>
      <c r="H6" s="42" t="s">
        <v>98</v>
      </c>
      <c r="I6" s="42" t="s">
        <v>47</v>
      </c>
      <c r="J6" s="42" t="s">
        <v>99</v>
      </c>
      <c r="K6" s="42" t="s">
        <v>100</v>
      </c>
    </row>
    <row r="7" spans="1:14" ht="15" customHeight="1" x14ac:dyDescent="0.25">
      <c r="A7" s="18" t="s">
        <v>498</v>
      </c>
      <c r="C7" s="26">
        <f>'Operating Model'!D13</f>
        <v>451.7</v>
      </c>
      <c r="D7" s="26">
        <f>'Operating Model'!E13</f>
        <v>870.4</v>
      </c>
      <c r="E7" s="27">
        <f>'Operating Model'!F13</f>
        <v>7182.1147625922567</v>
      </c>
      <c r="F7" s="27">
        <f>'Operating Model'!G13</f>
        <v>7968.5970079205581</v>
      </c>
      <c r="G7" s="27">
        <f>'Operating Model'!H13</f>
        <v>5257.5756908795156</v>
      </c>
      <c r="H7" s="27">
        <f>'Operating Model'!I13</f>
        <v>4455.2698997846292</v>
      </c>
      <c r="I7" s="27">
        <f>'Operating Model'!J13</f>
        <v>4576.047700793184</v>
      </c>
      <c r="J7" s="27">
        <f>'Operating Model'!K13</f>
        <v>4863.8015209246005</v>
      </c>
      <c r="K7" s="27">
        <f>'Operating Model'!L13</f>
        <v>5089.9104706432126</v>
      </c>
    </row>
    <row r="8" spans="1:14" ht="15" customHeight="1" x14ac:dyDescent="0.25">
      <c r="A8" s="20" t="s">
        <v>109</v>
      </c>
      <c r="C8" s="28">
        <f>'Operating Model'!D23</f>
        <v>0.26517399514432155</v>
      </c>
      <c r="D8" s="28">
        <f>'Operating Model'!E23</f>
        <v>0.29281979339369979</v>
      </c>
      <c r="E8" s="24">
        <f>Assumptions!C75</f>
        <v>0.26</v>
      </c>
      <c r="F8" s="24">
        <f>Assumptions!D75</f>
        <v>0.27</v>
      </c>
      <c r="G8" s="24">
        <f>Assumptions!E75</f>
        <v>0.28000000000000003</v>
      </c>
      <c r="H8" s="24">
        <f>Assumptions!F75</f>
        <v>0.28000000000000003</v>
      </c>
      <c r="I8" s="24">
        <f>Assumptions!G75</f>
        <v>0.28000000000000003</v>
      </c>
      <c r="J8" s="24">
        <f>Assumptions!H75</f>
        <v>0.28000000000000003</v>
      </c>
      <c r="K8" s="24">
        <f>Assumptions!I75</f>
        <v>0.28000000000000003</v>
      </c>
    </row>
    <row r="9" spans="1:14" ht="15" customHeight="1" x14ac:dyDescent="0.25">
      <c r="A9" s="18" t="s">
        <v>499</v>
      </c>
      <c r="C9" s="26">
        <f t="shared" ref="C9:K9" si="0">C7*(1-C8)</f>
        <v>331.92090639330996</v>
      </c>
      <c r="D9" s="26">
        <f t="shared" si="0"/>
        <v>615.52965183012373</v>
      </c>
      <c r="E9" s="27">
        <f t="shared" si="0"/>
        <v>5314.7649243182695</v>
      </c>
      <c r="F9" s="27">
        <f t="shared" si="0"/>
        <v>5817.0758157820073</v>
      </c>
      <c r="G9" s="27">
        <f t="shared" si="0"/>
        <v>3785.4544974332512</v>
      </c>
      <c r="H9" s="27">
        <f t="shared" si="0"/>
        <v>3207.7943278449329</v>
      </c>
      <c r="I9" s="27">
        <f t="shared" si="0"/>
        <v>3294.7543445710926</v>
      </c>
      <c r="J9" s="27">
        <f t="shared" si="0"/>
        <v>3501.9370950657121</v>
      </c>
      <c r="K9" s="27">
        <f t="shared" si="0"/>
        <v>3664.7355388631131</v>
      </c>
    </row>
    <row r="10" spans="1:14" ht="15" customHeight="1" x14ac:dyDescent="0.25">
      <c r="A10" s="20" t="s">
        <v>262</v>
      </c>
      <c r="C10" s="26">
        <v>312.3</v>
      </c>
      <c r="D10" s="26">
        <v>312.8</v>
      </c>
      <c r="E10" s="27">
        <f>D10*(1-Assumptions!$B$79)+D12*Assumptions!$B$80+E12*Assumptions!$B$81</f>
        <v>319.702</v>
      </c>
      <c r="F10" s="27">
        <f>E10*(1-Assumptions!$B$79)+E12*Assumptions!$B$80+F12*Assumptions!$B$81</f>
        <v>350.76756</v>
      </c>
      <c r="G10" s="27">
        <f>F10*(1-Assumptions!$B$79)+F12*Assumptions!$B$80+G12*Assumptions!$B$81</f>
        <v>379.19869679999999</v>
      </c>
      <c r="H10" s="27">
        <f>G10*(1-Assumptions!$B$79)+G12*Assumptions!$B$80+H12*Assumptions!$B$81</f>
        <v>402.97498350399997</v>
      </c>
      <c r="I10" s="27">
        <f>H10*(1-Assumptions!$B$79)+H12*Assumptions!$B$80+I12*Assumptions!$B$81</f>
        <v>426.32048713311997</v>
      </c>
      <c r="J10" s="27">
        <f>I10*(1-Assumptions!$B$79)+I12*Assumptions!$B$80+J12*Assumptions!$B$81</f>
        <v>450.02997996383357</v>
      </c>
      <c r="K10" s="27">
        <f>J10*(1-Assumptions!$B$79)+J12*Assumptions!$B$80+K12*Assumptions!$B$81</f>
        <v>474.0233843717902</v>
      </c>
    </row>
    <row r="11" spans="1:14" ht="15" customHeight="1" x14ac:dyDescent="0.25">
      <c r="A11" s="1" t="s">
        <v>500</v>
      </c>
      <c r="M11" s="35" t="s">
        <v>501</v>
      </c>
    </row>
    <row r="12" spans="1:14" ht="15" customHeight="1" x14ac:dyDescent="0.25">
      <c r="A12" s="20" t="s">
        <v>502</v>
      </c>
      <c r="C12" s="26">
        <v>225.6</v>
      </c>
      <c r="D12" s="26">
        <v>283.7</v>
      </c>
      <c r="E12" s="27">
        <f>Assumptions!C72</f>
        <v>450</v>
      </c>
      <c r="F12" s="27">
        <f>Assumptions!D72</f>
        <v>480</v>
      </c>
      <c r="G12" s="27">
        <f>Assumptions!E72</f>
        <v>480</v>
      </c>
      <c r="H12" s="27">
        <f>Assumptions!F72</f>
        <v>500</v>
      </c>
      <c r="I12" s="27">
        <f>Assumptions!G72</f>
        <v>525</v>
      </c>
      <c r="J12" s="27">
        <f>Assumptions!H72</f>
        <v>550</v>
      </c>
      <c r="K12" s="27">
        <f>Assumptions!I72</f>
        <v>575</v>
      </c>
    </row>
    <row r="13" spans="1:14" ht="15" customHeight="1" x14ac:dyDescent="0.25">
      <c r="A13" s="20" t="s">
        <v>503</v>
      </c>
      <c r="C13" s="26">
        <v>43.7</v>
      </c>
      <c r="D13" s="26">
        <v>56.4</v>
      </c>
      <c r="E13" s="27">
        <f>Assumptions!C73</f>
        <v>55</v>
      </c>
      <c r="F13" s="27">
        <f>Assumptions!D73</f>
        <v>55</v>
      </c>
      <c r="G13" s="27">
        <f>Assumptions!E73</f>
        <v>50</v>
      </c>
      <c r="H13" s="27">
        <f>Assumptions!F73</f>
        <v>40</v>
      </c>
      <c r="I13" s="27">
        <f>Assumptions!G73</f>
        <v>30</v>
      </c>
      <c r="J13" s="27">
        <f>Assumptions!H73</f>
        <v>20</v>
      </c>
      <c r="K13" s="27">
        <f>Assumptions!I73</f>
        <v>15</v>
      </c>
    </row>
    <row r="14" spans="1:14" ht="15" customHeight="1" x14ac:dyDescent="0.25">
      <c r="A14" s="18" t="s">
        <v>504</v>
      </c>
      <c r="C14" s="26">
        <f t="shared" ref="C14:K14" si="1">C12-C13</f>
        <v>181.89999999999998</v>
      </c>
      <c r="D14" s="26">
        <f t="shared" si="1"/>
        <v>227.29999999999998</v>
      </c>
      <c r="E14" s="27">
        <f t="shared" si="1"/>
        <v>395</v>
      </c>
      <c r="F14" s="27">
        <f t="shared" si="1"/>
        <v>425</v>
      </c>
      <c r="G14" s="27">
        <f t="shared" si="1"/>
        <v>430</v>
      </c>
      <c r="H14" s="27">
        <f t="shared" si="1"/>
        <v>460</v>
      </c>
      <c r="I14" s="27">
        <f t="shared" si="1"/>
        <v>495</v>
      </c>
      <c r="J14" s="27">
        <f t="shared" si="1"/>
        <v>530</v>
      </c>
      <c r="K14" s="27">
        <f t="shared" si="1"/>
        <v>560</v>
      </c>
    </row>
    <row r="15" spans="1:14" ht="15" customHeight="1" x14ac:dyDescent="0.25">
      <c r="A15" s="20" t="s">
        <v>505</v>
      </c>
      <c r="C15" s="26">
        <v>87.5</v>
      </c>
      <c r="D15" s="26">
        <v>478.3</v>
      </c>
      <c r="E15" s="27">
        <f>Assumptions!C74*'Operating Model'!F7</f>
        <v>1112.75403153408</v>
      </c>
      <c r="F15" s="27">
        <f>Assumptions!D74*'Operating Model'!G7</f>
        <v>1406.9513607512708</v>
      </c>
      <c r="G15" s="27">
        <f>Assumptions!E74*'Operating Model'!H7</f>
        <v>1347.9243100972753</v>
      </c>
      <c r="H15" s="27">
        <f>Assumptions!F74*'Operating Model'!I7</f>
        <v>1370.274197850639</v>
      </c>
      <c r="I15" s="27">
        <f>Assumptions!G74*'Operating Model'!J7</f>
        <v>1346.7914352109278</v>
      </c>
      <c r="J15" s="27">
        <f>Assumptions!H74*'Operating Model'!K7</f>
        <v>1394.8807689832136</v>
      </c>
      <c r="K15" s="27">
        <f>Assumptions!I74*'Operating Model'!L7</f>
        <v>1460.5326369414383</v>
      </c>
    </row>
    <row r="16" spans="1:14" ht="15" customHeight="1" x14ac:dyDescent="0.25">
      <c r="A16" s="20" t="s">
        <v>506</v>
      </c>
      <c r="D16" s="26">
        <f t="shared" ref="D16:K16" si="2">D15-C15</f>
        <v>390.8</v>
      </c>
      <c r="E16" s="27">
        <f t="shared" si="2"/>
        <v>634.45403153408006</v>
      </c>
      <c r="F16" s="27">
        <f t="shared" si="2"/>
        <v>294.19732921719083</v>
      </c>
      <c r="G16" s="27">
        <f t="shared" si="2"/>
        <v>-59.027050653995502</v>
      </c>
      <c r="H16" s="27">
        <f t="shared" si="2"/>
        <v>22.349887753363646</v>
      </c>
      <c r="I16" s="27">
        <f t="shared" si="2"/>
        <v>-23.482762639711154</v>
      </c>
      <c r="J16" s="27">
        <f t="shared" si="2"/>
        <v>48.089333772285727</v>
      </c>
      <c r="K16" s="27">
        <f t="shared" si="2"/>
        <v>65.651867958224784</v>
      </c>
    </row>
    <row r="17" spans="1:12" ht="15" customHeight="1" x14ac:dyDescent="0.25">
      <c r="A17" s="18" t="s">
        <v>507</v>
      </c>
      <c r="C17" s="26"/>
      <c r="D17" s="26">
        <f t="shared" ref="D17:K17" si="3">D9+D10-D14-D16</f>
        <v>310.22965183012383</v>
      </c>
      <c r="E17" s="27">
        <f t="shared" si="3"/>
        <v>4605.0128927841897</v>
      </c>
      <c r="F17" s="27">
        <f t="shared" si="3"/>
        <v>5448.646046564817</v>
      </c>
      <c r="G17" s="27">
        <f t="shared" si="3"/>
        <v>3793.6802448872468</v>
      </c>
      <c r="H17" s="27">
        <f t="shared" si="3"/>
        <v>3128.4194235955692</v>
      </c>
      <c r="I17" s="27">
        <f t="shared" si="3"/>
        <v>3249.5575943439235</v>
      </c>
      <c r="J17" s="27">
        <f t="shared" si="3"/>
        <v>3373.8777412572599</v>
      </c>
      <c r="K17" s="27">
        <f t="shared" si="3"/>
        <v>3513.1070552766787</v>
      </c>
    </row>
    <row r="18" spans="1:12" ht="15" customHeight="1" x14ac:dyDescent="0.25">
      <c r="A18" s="20" t="s">
        <v>508</v>
      </c>
      <c r="D18" s="28">
        <f>D17/'Operating Model'!E7</f>
        <v>0.13271289007106599</v>
      </c>
      <c r="E18" s="24">
        <f>E17/'Operating Model'!F7</f>
        <v>0.4966070950758702</v>
      </c>
      <c r="F18" s="24">
        <f>F17/'Operating Model'!G7</f>
        <v>0.44535604629599346</v>
      </c>
      <c r="G18" s="24">
        <f>G17/'Operating Model'!H7</f>
        <v>0.30959069720130028</v>
      </c>
      <c r="H18" s="24">
        <f>H17/'Operating Model'!I7</f>
        <v>0.2511366974108511</v>
      </c>
      <c r="I18" s="24">
        <f>I17/'Operating Model'!J7</f>
        <v>0.25334549840872306</v>
      </c>
      <c r="J18" s="24">
        <f>J17/'Operating Model'!K7</f>
        <v>0.25396949381576533</v>
      </c>
      <c r="K18" s="24">
        <f>K17/'Operating Model'!L7</f>
        <v>0.2525628195317362</v>
      </c>
    </row>
    <row r="20" spans="1:12" ht="15" customHeight="1" x14ac:dyDescent="0.25">
      <c r="A20" s="16" t="s">
        <v>509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5" customHeight="1" x14ac:dyDescent="0.25">
      <c r="A21" s="20" t="s">
        <v>510</v>
      </c>
      <c r="E21" s="27">
        <f>Assumptions!$B$18</f>
        <v>1047.5999999999999</v>
      </c>
      <c r="F21" s="27">
        <f t="shared" ref="F21:K21" si="4">E24</f>
        <v>520.09999999999991</v>
      </c>
      <c r="G21" s="27">
        <f t="shared" si="4"/>
        <v>420.09999999999991</v>
      </c>
      <c r="H21" s="27">
        <f t="shared" si="4"/>
        <v>320.09999999999991</v>
      </c>
      <c r="I21" s="27">
        <f t="shared" si="4"/>
        <v>270.09999999999991</v>
      </c>
      <c r="J21" s="27">
        <f t="shared" si="4"/>
        <v>220.09999999999991</v>
      </c>
      <c r="K21" s="27">
        <f t="shared" si="4"/>
        <v>220.09999999999991</v>
      </c>
    </row>
    <row r="22" spans="1:12" ht="15" customHeight="1" x14ac:dyDescent="0.25">
      <c r="A22" s="20" t="s">
        <v>511</v>
      </c>
      <c r="E22" s="41">
        <v>527.5</v>
      </c>
      <c r="F22" s="41">
        <v>100</v>
      </c>
      <c r="G22" s="41">
        <v>100</v>
      </c>
      <c r="H22" s="41">
        <v>50</v>
      </c>
      <c r="I22" s="41">
        <v>50</v>
      </c>
      <c r="J22" s="41">
        <v>0</v>
      </c>
      <c r="K22" s="41">
        <v>0</v>
      </c>
    </row>
    <row r="23" spans="1:12" ht="15" customHeight="1" x14ac:dyDescent="0.25">
      <c r="A23" s="20" t="s">
        <v>512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</row>
    <row r="24" spans="1:12" ht="15" customHeight="1" x14ac:dyDescent="0.25">
      <c r="A24" s="18" t="s">
        <v>513</v>
      </c>
      <c r="C24" s="26">
        <v>777.7</v>
      </c>
      <c r="D24" s="26">
        <v>1047.5999999999999</v>
      </c>
      <c r="E24" s="27">
        <f t="shared" ref="E24:K24" si="5">E21-E22+E23</f>
        <v>520.09999999999991</v>
      </c>
      <c r="F24" s="27">
        <f t="shared" si="5"/>
        <v>420.09999999999991</v>
      </c>
      <c r="G24" s="27">
        <f t="shared" si="5"/>
        <v>320.09999999999991</v>
      </c>
      <c r="H24" s="27">
        <f t="shared" si="5"/>
        <v>270.09999999999991</v>
      </c>
      <c r="I24" s="27">
        <f t="shared" si="5"/>
        <v>220.09999999999991</v>
      </c>
      <c r="J24" s="27">
        <f t="shared" si="5"/>
        <v>220.09999999999991</v>
      </c>
      <c r="K24" s="27">
        <f t="shared" si="5"/>
        <v>220.09999999999991</v>
      </c>
    </row>
    <row r="25" spans="1:12" ht="15" customHeight="1" x14ac:dyDescent="0.25">
      <c r="A25" s="20" t="s">
        <v>514</v>
      </c>
      <c r="E25" s="27">
        <f>E21*Assumptions!$B$96+8</f>
        <v>33.142399999999995</v>
      </c>
      <c r="F25" s="27">
        <f>F21*Assumptions!$B$96+8</f>
        <v>20.482399999999998</v>
      </c>
      <c r="G25" s="27">
        <f>G21*Assumptions!$B$96+8</f>
        <v>18.0824</v>
      </c>
      <c r="H25" s="27">
        <f>H21*Assumptions!$B$96+8</f>
        <v>15.682399999999998</v>
      </c>
      <c r="I25" s="27">
        <f>I21*Assumptions!$B$96+8</f>
        <v>14.482399999999998</v>
      </c>
      <c r="J25" s="27">
        <f>J21*Assumptions!$B$96+8</f>
        <v>13.282399999999999</v>
      </c>
      <c r="K25" s="27">
        <f>K21*Assumptions!$B$96+8</f>
        <v>13.282399999999999</v>
      </c>
    </row>
    <row r="26" spans="1:12" ht="15" customHeight="1" x14ac:dyDescent="0.25">
      <c r="A26" s="35" t="s">
        <v>515</v>
      </c>
    </row>
    <row r="28" spans="1:12" ht="15" customHeight="1" x14ac:dyDescent="0.25">
      <c r="A28" s="16" t="s">
        <v>516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5" customHeight="1" x14ac:dyDescent="0.25">
      <c r="A29" s="18" t="s">
        <v>517</v>
      </c>
      <c r="E29" s="27">
        <f t="shared" ref="E29:K29" si="6">E17-E25*(1-E8)-E22+E23</f>
        <v>4052.9875167841901</v>
      </c>
      <c r="F29" s="27">
        <f t="shared" si="6"/>
        <v>5333.6938945648171</v>
      </c>
      <c r="G29" s="27">
        <f t="shared" si="6"/>
        <v>3680.6609168872469</v>
      </c>
      <c r="H29" s="27">
        <f t="shared" si="6"/>
        <v>3067.1280955955694</v>
      </c>
      <c r="I29" s="27">
        <f t="shared" si="6"/>
        <v>3189.1302663439233</v>
      </c>
      <c r="J29" s="27">
        <f t="shared" si="6"/>
        <v>3364.3144132572597</v>
      </c>
      <c r="K29" s="27">
        <f t="shared" si="6"/>
        <v>3503.5437272766785</v>
      </c>
    </row>
    <row r="30" spans="1:12" ht="15" customHeight="1" x14ac:dyDescent="0.25">
      <c r="A30" s="20" t="s">
        <v>518</v>
      </c>
      <c r="E30" s="27">
        <f>Assumptions!$B$17</f>
        <v>470.7</v>
      </c>
      <c r="F30" s="27">
        <f t="shared" ref="F30:K30" si="7">E31</f>
        <v>4523.6875167841899</v>
      </c>
      <c r="G30" s="27">
        <f t="shared" si="7"/>
        <v>9857.381411349008</v>
      </c>
      <c r="H30" s="27">
        <f t="shared" si="7"/>
        <v>13538.042328236255</v>
      </c>
      <c r="I30" s="27">
        <f t="shared" si="7"/>
        <v>16605.170423831823</v>
      </c>
      <c r="J30" s="27">
        <f t="shared" si="7"/>
        <v>19794.300690175747</v>
      </c>
      <c r="K30" s="27">
        <f t="shared" si="7"/>
        <v>23158.615103433007</v>
      </c>
    </row>
    <row r="31" spans="1:12" ht="15" customHeight="1" x14ac:dyDescent="0.25">
      <c r="A31" s="18" t="s">
        <v>519</v>
      </c>
      <c r="C31" s="26">
        <v>167.9</v>
      </c>
      <c r="D31" s="26">
        <v>470.7</v>
      </c>
      <c r="E31" s="27">
        <f t="shared" ref="E31:K31" si="8">E30+E29</f>
        <v>4523.6875167841899</v>
      </c>
      <c r="F31" s="27">
        <f t="shared" si="8"/>
        <v>9857.381411349008</v>
      </c>
      <c r="G31" s="27">
        <f t="shared" si="8"/>
        <v>13538.042328236255</v>
      </c>
      <c r="H31" s="27">
        <f t="shared" si="8"/>
        <v>16605.170423831823</v>
      </c>
      <c r="I31" s="27">
        <f t="shared" si="8"/>
        <v>19794.300690175747</v>
      </c>
      <c r="J31" s="27">
        <f t="shared" si="8"/>
        <v>23158.615103433007</v>
      </c>
      <c r="K31" s="27">
        <f t="shared" si="8"/>
        <v>26662.158830709686</v>
      </c>
    </row>
    <row r="32" spans="1:12" ht="15" customHeight="1" x14ac:dyDescent="0.25">
      <c r="A32" s="18" t="s">
        <v>520</v>
      </c>
      <c r="C32" s="26">
        <f t="shared" ref="C32:K32" si="9">C24-C31</f>
        <v>609.80000000000007</v>
      </c>
      <c r="D32" s="26">
        <f t="shared" si="9"/>
        <v>576.89999999999986</v>
      </c>
      <c r="E32" s="27">
        <f t="shared" si="9"/>
        <v>-4003.58751678419</v>
      </c>
      <c r="F32" s="27">
        <f t="shared" si="9"/>
        <v>-9437.2814113490076</v>
      </c>
      <c r="G32" s="27">
        <f t="shared" si="9"/>
        <v>-13217.942328236255</v>
      </c>
      <c r="H32" s="27">
        <f t="shared" si="9"/>
        <v>-16335.070423831823</v>
      </c>
      <c r="I32" s="27">
        <f t="shared" si="9"/>
        <v>-19574.200690175749</v>
      </c>
      <c r="J32" s="27">
        <f t="shared" si="9"/>
        <v>-22938.515103433008</v>
      </c>
      <c r="K32" s="27">
        <f t="shared" si="9"/>
        <v>-26442.058830709688</v>
      </c>
    </row>
    <row r="33" spans="1:11" ht="15" customHeight="1" x14ac:dyDescent="0.25">
      <c r="A33" s="20" t="s">
        <v>42</v>
      </c>
      <c r="D33" s="31">
        <f>D32/'Operating Model'!E15</f>
        <v>0.48757606490872196</v>
      </c>
      <c r="E33" s="32">
        <f>E32/'Operating Model'!F15</f>
        <v>-0.53368239234368453</v>
      </c>
      <c r="F33" s="32">
        <f>F32/'Operating Model'!G15</f>
        <v>-1.1343752680029353</v>
      </c>
      <c r="G33" s="32">
        <f>G32/'Operating Model'!H15</f>
        <v>-2.3449479115444372</v>
      </c>
      <c r="H33" s="32">
        <f>H32/'Operating Model'!I15</f>
        <v>-3.362339860640029</v>
      </c>
      <c r="I33" s="32">
        <f>I32/'Operating Model'!J15</f>
        <v>-3.9129868004158435</v>
      </c>
      <c r="J33" s="32">
        <f>J32/'Operating Model'!K15</f>
        <v>-4.3167562049338333</v>
      </c>
      <c r="K33" s="32">
        <f>K32/'Operating Model'!L15</f>
        <v>-4.7524035187579319</v>
      </c>
    </row>
    <row r="35" spans="1:11" ht="15" customHeight="1" x14ac:dyDescent="0.25">
      <c r="A35" s="35" t="s">
        <v>521</v>
      </c>
    </row>
    <row r="36" spans="1:11" ht="15" customHeight="1" x14ac:dyDescent="0.25">
      <c r="A36" s="35" t="s">
        <v>522</v>
      </c>
    </row>
  </sheetData>
  <phoneticPr fontId="30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12</vt:i4>
      </vt:variant>
    </vt:vector>
  </HeadingPairs>
  <TitlesOfParts>
    <vt:vector size="31" baseType="lpstr">
      <vt:lpstr>Cover</vt:lpstr>
      <vt:lpstr>Dashboard</vt:lpstr>
      <vt:lpstr>Assumptions</vt:lpstr>
      <vt:lpstr>Historical Financials</vt:lpstr>
      <vt:lpstr>Quarterly Financials</vt:lpstr>
      <vt:lpstr>NAND Market</vt:lpstr>
      <vt:lpstr>Revenue Build</vt:lpstr>
      <vt:lpstr>Operating Model</vt:lpstr>
      <vt:lpstr>Cash Flow Model</vt:lpstr>
      <vt:lpstr>Scenario Analysis</vt:lpstr>
      <vt:lpstr>DCF Valuation</vt:lpstr>
      <vt:lpstr>DCF Sensitivities</vt:lpstr>
      <vt:lpstr>Comparable Companies</vt:lpstr>
      <vt:lpstr>Multiples Valuation</vt:lpstr>
      <vt:lpstr>Valuation Summary</vt:lpstr>
      <vt:lpstr>Probability Distribution</vt:lpstr>
      <vt:lpstr>Investment Case</vt:lpstr>
      <vt:lpstr>Sources</vt:lpstr>
      <vt:lpstr>Checks</vt:lpstr>
      <vt:lpstr>Basic_Shares</vt:lpstr>
      <vt:lpstr>Diluted_Shares</vt:lpstr>
      <vt:lpstr>Exit_Mult_Active</vt:lpstr>
      <vt:lpstr>Net_Debt</vt:lpstr>
      <vt:lpstr>Scenario_Selected</vt:lpstr>
      <vt:lpstr>Share_Price</vt:lpstr>
      <vt:lpstr>Terminal_Growth_Base</vt:lpstr>
      <vt:lpstr>TG_Active</vt:lpstr>
      <vt:lpstr>Total_Adj</vt:lpstr>
      <vt:lpstr>USDJPY_Base</vt:lpstr>
      <vt:lpstr>WACC_Active</vt:lpstr>
      <vt:lpstr>WACC_Base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2026-06-13T21:09:24Z</dcterms:created>
  <dcterms:modified xsi:type="dcterms:W3CDTF">2026-06-13T21:44:16Z</dcterms:modified>
  <dc:language/>
</cp:coreProperties>
</file>