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B5FF5F38-AD43-4B4E-8D68-2BD9271F8E0F}" xr6:coauthVersionLast="47" xr6:coauthVersionMax="47" xr10:uidLastSave="{00000000-0000-0000-0000-000000000000}"/>
  <bookViews>
    <workbookView xWindow="-120" yWindow="-120" windowWidth="29040" windowHeight="18720" tabRatio="842" xr2:uid="{00000000-000D-0000-FFFF-FFFF00000000}"/>
  </bookViews>
  <sheets>
    <sheet name="Dashboard" sheetId="5" r:id="rId1"/>
    <sheet name="Results&amp;Guidance" sheetId="7" r:id="rId2"/>
    <sheet name="① Assumptions" sheetId="1" r:id="rId3"/>
    <sheet name="② Multiples" sheetId="2" r:id="rId4"/>
    <sheet name="③ DCF" sheetId="3" r:id="rId5"/>
    <sheet name="&gt;&gt;Extract from Itochu Website" sheetId="11" r:id="rId6"/>
    <sheet name="P&amp;L_Comprehensive" sheetId="12" r:id="rId7"/>
    <sheet name="Balance Sheet" sheetId="13" r:id="rId8"/>
    <sheet name="Cash Flow" sheetId="14" r:id="rId9"/>
  </sheets>
  <definedNames>
    <definedName name="CurrentPrice">'① Assumptions'!$C$28</definedName>
    <definedName name="ForwardPER">'① Assumptions'!$C$25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4" i="7" l="1"/>
  <c r="E24" i="7"/>
  <c r="E29" i="7"/>
  <c r="F29" i="7"/>
  <c r="D29" i="7"/>
  <c r="E32" i="7"/>
  <c r="F32" i="7"/>
  <c r="E31" i="7"/>
  <c r="F31" i="7"/>
  <c r="D31" i="7"/>
  <c r="E30" i="7"/>
  <c r="F30" i="7"/>
  <c r="D30" i="7"/>
  <c r="E28" i="7"/>
  <c r="F28" i="7"/>
  <c r="D28" i="7"/>
  <c r="E25" i="7"/>
  <c r="F25" i="7"/>
  <c r="D25" i="7"/>
  <c r="E22" i="7"/>
  <c r="F22" i="7"/>
  <c r="D22" i="7"/>
  <c r="E20" i="7"/>
  <c r="F20" i="7"/>
  <c r="D20" i="7"/>
  <c r="C39" i="1"/>
  <c r="A1" i="5"/>
  <c r="F20" i="3"/>
  <c r="B21" i="5"/>
  <c r="A1" i="3"/>
  <c r="A1" i="2"/>
  <c r="A1" i="1"/>
  <c r="A1" i="7"/>
  <c r="C40" i="1" l="1"/>
  <c r="F26" i="7"/>
  <c r="D32" i="7"/>
  <c r="C18" i="1"/>
  <c r="E21" i="3"/>
  <c r="D26" i="7"/>
  <c r="E40" i="7"/>
  <c r="E42" i="7" s="1"/>
  <c r="F40" i="7"/>
  <c r="B22" i="5" s="1"/>
  <c r="D40" i="7"/>
  <c r="D42" i="7" s="1"/>
  <c r="C21" i="5"/>
  <c r="C23" i="5"/>
  <c r="C31" i="1"/>
  <c r="B7" i="2" s="1"/>
  <c r="B9" i="2" s="1"/>
  <c r="A9" i="5"/>
  <c r="C35" i="1"/>
  <c r="B14" i="2" s="1"/>
  <c r="D11" i="3"/>
  <c r="C11" i="3"/>
  <c r="B8" i="2"/>
  <c r="F41" i="3"/>
  <c r="G41" i="3" s="1"/>
  <c r="H41" i="3" s="1"/>
  <c r="I41" i="3" s="1"/>
  <c r="J41" i="3" s="1"/>
  <c r="K41" i="3" s="1"/>
  <c r="L41" i="3" s="1"/>
  <c r="M41" i="3" s="1"/>
  <c r="N41" i="3" s="1"/>
  <c r="O41" i="3" s="1"/>
  <c r="F35" i="3"/>
  <c r="F34" i="3"/>
  <c r="G34" i="3" s="1"/>
  <c r="H34" i="3" s="1"/>
  <c r="I34" i="3" s="1"/>
  <c r="J34" i="3" s="1"/>
  <c r="K34" i="3" s="1"/>
  <c r="L34" i="3" s="1"/>
  <c r="M34" i="3" s="1"/>
  <c r="N34" i="3" s="1"/>
  <c r="O34" i="3" s="1"/>
  <c r="G33" i="3"/>
  <c r="H33" i="3" s="1"/>
  <c r="I33" i="3" s="1"/>
  <c r="J33" i="3" s="1"/>
  <c r="K33" i="3" s="1"/>
  <c r="L33" i="3" s="1"/>
  <c r="M33" i="3" s="1"/>
  <c r="N33" i="3" s="1"/>
  <c r="O33" i="3" s="1"/>
  <c r="F26" i="3"/>
  <c r="G26" i="3" s="1"/>
  <c r="H26" i="3" s="1"/>
  <c r="I26" i="3" s="1"/>
  <c r="J26" i="3" s="1"/>
  <c r="K26" i="3" s="1"/>
  <c r="L26" i="3" s="1"/>
  <c r="M26" i="3" s="1"/>
  <c r="N26" i="3" s="1"/>
  <c r="O26" i="3" s="1"/>
  <c r="G18" i="3"/>
  <c r="H18" i="3" s="1"/>
  <c r="I18" i="3" s="1"/>
  <c r="J18" i="3" s="1"/>
  <c r="K18" i="3" s="1"/>
  <c r="L18" i="3" s="1"/>
  <c r="M18" i="3" s="1"/>
  <c r="N18" i="3" s="1"/>
  <c r="O18" i="3" s="1"/>
  <c r="O20" i="3" s="1"/>
  <c r="F19" i="3"/>
  <c r="G19" i="3" s="1"/>
  <c r="H19" i="3" s="1"/>
  <c r="I19" i="3" s="1"/>
  <c r="J19" i="3" s="1"/>
  <c r="K19" i="3" s="1"/>
  <c r="L19" i="3" s="1"/>
  <c r="M19" i="3" s="1"/>
  <c r="N19" i="3" s="1"/>
  <c r="O19" i="3" s="1"/>
  <c r="B15" i="2"/>
  <c r="B13" i="2"/>
  <c r="B6" i="2"/>
  <c r="D7" i="7"/>
  <c r="D9" i="7"/>
  <c r="C12" i="1" s="1"/>
  <c r="B23" i="5" s="1"/>
  <c r="D6" i="7"/>
  <c r="C9" i="1" s="1"/>
  <c r="E37" i="7"/>
  <c r="F37" i="7"/>
  <c r="D8" i="7" s="1"/>
  <c r="C11" i="1" s="1"/>
  <c r="D37" i="7"/>
  <c r="E41" i="7"/>
  <c r="E43" i="7" s="1"/>
  <c r="F41" i="7"/>
  <c r="F43" i="7" s="1"/>
  <c r="D14" i="7" s="1"/>
  <c r="C17" i="1" s="1"/>
  <c r="D41" i="7"/>
  <c r="D43" i="7" s="1"/>
  <c r="F39" i="7"/>
  <c r="D10" i="7" s="1"/>
  <c r="C13" i="1" s="1"/>
  <c r="E39" i="7"/>
  <c r="D39" i="7"/>
  <c r="E26" i="7"/>
  <c r="C28" i="5"/>
  <c r="L23" i="3" l="1"/>
  <c r="L25" i="3" s="1"/>
  <c r="E38" i="3"/>
  <c r="C10" i="1"/>
  <c r="C41" i="1" s="1"/>
  <c r="F38" i="3" s="1"/>
  <c r="F42" i="7"/>
  <c r="D13" i="7" s="1"/>
  <c r="C16" i="1" s="1"/>
  <c r="D21" i="5"/>
  <c r="H20" i="3"/>
  <c r="D23" i="5"/>
  <c r="C24" i="1"/>
  <c r="C25" i="1" s="1"/>
  <c r="K23" i="3"/>
  <c r="K25" i="3" s="1"/>
  <c r="K28" i="3" s="1"/>
  <c r="E36" i="3"/>
  <c r="F36" i="3" s="1"/>
  <c r="G35" i="3"/>
  <c r="H35" i="3"/>
  <c r="O35" i="3"/>
  <c r="I35" i="3"/>
  <c r="K35" i="3"/>
  <c r="L35" i="3"/>
  <c r="M35" i="3"/>
  <c r="J35" i="3"/>
  <c r="N20" i="3"/>
  <c r="N35" i="3"/>
  <c r="E23" i="3"/>
  <c r="E24" i="3" s="1"/>
  <c r="G23" i="3"/>
  <c r="N23" i="3"/>
  <c r="F23" i="3"/>
  <c r="O23" i="3"/>
  <c r="D12" i="7"/>
  <c r="C15" i="1" s="1"/>
  <c r="C13" i="2" s="1"/>
  <c r="D11" i="7"/>
  <c r="C14" i="1" s="1"/>
  <c r="M23" i="3"/>
  <c r="J23" i="3"/>
  <c r="I23" i="3"/>
  <c r="H23" i="3"/>
  <c r="J20" i="3"/>
  <c r="I20" i="3"/>
  <c r="G20" i="3"/>
  <c r="M20" i="3"/>
  <c r="L20" i="3"/>
  <c r="K20" i="3"/>
  <c r="F21" i="3"/>
  <c r="L28" i="3"/>
  <c r="C9" i="5" l="1"/>
  <c r="C22" i="5"/>
  <c r="D22" i="5" s="1"/>
  <c r="G25" i="3"/>
  <c r="G28" i="3" s="1"/>
  <c r="I25" i="3"/>
  <c r="I28" i="3" s="1"/>
  <c r="J25" i="3"/>
  <c r="J28" i="3" s="1"/>
  <c r="F25" i="3"/>
  <c r="F28" i="3" s="1"/>
  <c r="N25" i="3"/>
  <c r="N28" i="3" s="1"/>
  <c r="H25" i="3"/>
  <c r="H28" i="3" s="1"/>
  <c r="M25" i="3"/>
  <c r="M28" i="3" s="1"/>
  <c r="F39" i="3"/>
  <c r="E39" i="3"/>
  <c r="D13" i="2"/>
  <c r="G36" i="3"/>
  <c r="C8" i="2"/>
  <c r="D8" i="2" s="1"/>
  <c r="E8" i="2" s="1"/>
  <c r="C15" i="2"/>
  <c r="D15" i="2" s="1"/>
  <c r="E15" i="2" s="1"/>
  <c r="F15" i="2" s="1"/>
  <c r="C14" i="2"/>
  <c r="F24" i="3"/>
  <c r="F27" i="3" s="1"/>
  <c r="G21" i="3"/>
  <c r="G24" i="3" s="1"/>
  <c r="G27" i="3" s="1"/>
  <c r="E13" i="2" l="1"/>
  <c r="F13" i="2" s="1"/>
  <c r="B14" i="5"/>
  <c r="C14" i="5" s="1"/>
  <c r="D14" i="5" s="1"/>
  <c r="G29" i="3"/>
  <c r="F29" i="3"/>
  <c r="G38" i="3"/>
  <c r="G39" i="3" s="1"/>
  <c r="G42" i="3" s="1"/>
  <c r="H38" i="3"/>
  <c r="H40" i="3" s="1"/>
  <c r="H43" i="3" s="1"/>
  <c r="I38" i="3"/>
  <c r="I40" i="3" s="1"/>
  <c r="I43" i="3" s="1"/>
  <c r="J38" i="3"/>
  <c r="J40" i="3" s="1"/>
  <c r="J43" i="3" s="1"/>
  <c r="K38" i="3"/>
  <c r="K40" i="3" s="1"/>
  <c r="K43" i="3" s="1"/>
  <c r="L38" i="3"/>
  <c r="L40" i="3" s="1"/>
  <c r="L43" i="3" s="1"/>
  <c r="O38" i="3"/>
  <c r="C9" i="2"/>
  <c r="D9" i="2" s="1"/>
  <c r="E9" i="2" s="1"/>
  <c r="F9" i="2" s="1"/>
  <c r="M38" i="3"/>
  <c r="M40" i="3" s="1"/>
  <c r="M43" i="3" s="1"/>
  <c r="N38" i="3"/>
  <c r="N40" i="3" s="1"/>
  <c r="N43" i="3" s="1"/>
  <c r="F42" i="3"/>
  <c r="F40" i="3"/>
  <c r="F43" i="3" s="1"/>
  <c r="D14" i="2"/>
  <c r="E14" i="2" s="1"/>
  <c r="F14" i="2" s="1"/>
  <c r="H36" i="3"/>
  <c r="C6" i="2"/>
  <c r="D6" i="2" s="1"/>
  <c r="C7" i="2"/>
  <c r="D7" i="2" s="1"/>
  <c r="B13" i="5" s="1"/>
  <c r="C13" i="5" s="1"/>
  <c r="D13" i="5" s="1"/>
  <c r="H21" i="3"/>
  <c r="H24" i="3" s="1"/>
  <c r="H27" i="3" s="1"/>
  <c r="F8" i="2"/>
  <c r="G40" i="3" l="1"/>
  <c r="G43" i="3" s="1"/>
  <c r="G44" i="3" s="1"/>
  <c r="H39" i="3"/>
  <c r="H42" i="3" s="1"/>
  <c r="H44" i="3" s="1"/>
  <c r="F44" i="3"/>
  <c r="E6" i="2"/>
  <c r="F6" i="2" s="1"/>
  <c r="I36" i="3"/>
  <c r="E7" i="2"/>
  <c r="F7" i="2" s="1"/>
  <c r="I21" i="3"/>
  <c r="I24" i="3" s="1"/>
  <c r="I27" i="3" s="1"/>
  <c r="I29" i="3" s="1"/>
  <c r="H29" i="3"/>
  <c r="I39" i="3" l="1"/>
  <c r="I42" i="3" s="1"/>
  <c r="J36" i="3"/>
  <c r="J39" i="3" s="1"/>
  <c r="J42" i="3" s="1"/>
  <c r="J21" i="3"/>
  <c r="K21" i="3" s="1"/>
  <c r="K24" i="3" s="1"/>
  <c r="I44" i="3" l="1"/>
  <c r="K36" i="3"/>
  <c r="K39" i="3" s="1"/>
  <c r="K42" i="3" s="1"/>
  <c r="J44" i="3"/>
  <c r="J24" i="3"/>
  <c r="J27" i="3" s="1"/>
  <c r="J29" i="3" s="1"/>
  <c r="K27" i="3"/>
  <c r="K29" i="3" s="1"/>
  <c r="L21" i="3"/>
  <c r="L24" i="3" s="1"/>
  <c r="L36" i="3" l="1"/>
  <c r="L39" i="3" s="1"/>
  <c r="L42" i="3" s="1"/>
  <c r="K44" i="3"/>
  <c r="L27" i="3"/>
  <c r="L29" i="3" s="1"/>
  <c r="M21" i="3"/>
  <c r="M24" i="3" s="1"/>
  <c r="M36" i="3" l="1"/>
  <c r="M39" i="3" s="1"/>
  <c r="M42" i="3" s="1"/>
  <c r="M27" i="3"/>
  <c r="M29" i="3" s="1"/>
  <c r="N21" i="3"/>
  <c r="N24" i="3" s="1"/>
  <c r="N36" i="3" l="1"/>
  <c r="N39" i="3" s="1"/>
  <c r="N42" i="3" s="1"/>
  <c r="M44" i="3"/>
  <c r="L44" i="3"/>
  <c r="N27" i="3"/>
  <c r="N29" i="3" s="1"/>
  <c r="O21" i="3"/>
  <c r="O22" i="3" s="1"/>
  <c r="O25" i="3" s="1"/>
  <c r="D21" i="3" l="1"/>
  <c r="O36" i="3"/>
  <c r="O37" i="3" s="1"/>
  <c r="O40" i="3" s="1"/>
  <c r="N44" i="3"/>
  <c r="O24" i="3"/>
  <c r="O27" i="3" s="1"/>
  <c r="D27" i="3" s="1"/>
  <c r="C7" i="3" s="1"/>
  <c r="O39" i="3" l="1"/>
  <c r="O42" i="3" s="1"/>
  <c r="D42" i="3" s="1"/>
  <c r="D36" i="3"/>
  <c r="O28" i="3"/>
  <c r="D22" i="3"/>
  <c r="D37" i="3" l="1"/>
  <c r="O43" i="3"/>
  <c r="D43" i="3" s="1"/>
  <c r="D8" i="3" s="1"/>
  <c r="D7" i="3"/>
  <c r="O29" i="3"/>
  <c r="D28" i="3"/>
  <c r="C8" i="3" s="1"/>
  <c r="D45" i="3" l="1"/>
  <c r="D9" i="3"/>
  <c r="O44" i="3"/>
  <c r="C9" i="3"/>
  <c r="D30" i="3"/>
  <c r="D10" i="3" l="1"/>
  <c r="B16" i="5"/>
  <c r="C16" i="5" s="1"/>
  <c r="D16" i="5" s="1"/>
  <c r="C13" i="3"/>
  <c r="E9" i="5"/>
  <c r="D12" i="3"/>
  <c r="D13" i="3"/>
  <c r="C12" i="3"/>
  <c r="C10" i="3"/>
  <c r="B15" i="5"/>
  <c r="C15" i="5" s="1"/>
  <c r="D15" i="5" s="1"/>
</calcChain>
</file>

<file path=xl/sharedStrings.xml><?xml version="1.0" encoding="utf-8"?>
<sst xmlns="http://schemas.openxmlformats.org/spreadsheetml/2006/main" count="398" uniqueCount="281">
  <si>
    <t>WACC</t>
  </si>
  <si>
    <t>Terminal Growth Rate (g)</t>
  </si>
  <si>
    <t>Japan nominal GDP reference; conservative</t>
  </si>
  <si>
    <t>Year-1 FCF Growth  (FY2027, applied)</t>
  </si>
  <si>
    <t>Years 2–5 FCF Growth  (mid-term)</t>
  </si>
  <si>
    <t>Years 6–10 FCF Growth  (long-term)</t>
  </si>
  <si>
    <t>Through-cycle commodity average</t>
  </si>
  <si>
    <t>Metric</t>
  </si>
  <si>
    <t>Value</t>
  </si>
  <si>
    <t>Scenario</t>
  </si>
  <si>
    <t>P/E Applied</t>
  </si>
  <si>
    <t>FY2027 EPS (¥)</t>
  </si>
  <si>
    <t>Implied Price (¥)</t>
  </si>
  <si>
    <t>vs Current ¥5,500</t>
  </si>
  <si>
    <t>Upside / (Downside)</t>
  </si>
  <si>
    <t>P/B Applied</t>
  </si>
  <si>
    <t>BPS  (¥)</t>
  </si>
  <si>
    <t>PV of 10-Year FCFs</t>
  </si>
  <si>
    <t>PV of Terminal Value</t>
  </si>
  <si>
    <t>TV as % of Intrinsic Value</t>
  </si>
  <si>
    <t>★  INTRINSIC VALUE  (DCF)</t>
  </si>
  <si>
    <t>Current Share Price</t>
  </si>
  <si>
    <t>Difference  (Intrinsic−Market)</t>
  </si>
  <si>
    <t>Upside / (Downside)  %</t>
  </si>
  <si>
    <t xml:space="preserve">  Current Price</t>
  </si>
  <si>
    <t xml:space="preserve">  Forward P/E</t>
  </si>
  <si>
    <t xml:space="preserve">  DCF Intrinsic</t>
  </si>
  <si>
    <t xml:space="preserve">  TSE close · 18 May 2026</t>
  </si>
  <si>
    <t>Valuation Method</t>
  </si>
  <si>
    <t>FY2026/3 Actual</t>
  </si>
  <si>
    <t>FY2027/3 Guided</t>
  </si>
  <si>
    <t>Change</t>
  </si>
  <si>
    <t>Analyst / Source</t>
  </si>
  <si>
    <t>Price Target  (¥)</t>
  </si>
  <si>
    <t xml:space="preserve">  ⚡  Risk Sensitivities  — What happens to profits when these change?  (confirmed in earnings release)</t>
  </si>
  <si>
    <t>Risk Factor</t>
  </si>
  <si>
    <t>Impact on Net Profit</t>
  </si>
  <si>
    <t>Direction</t>
  </si>
  <si>
    <t>Crude oil  ±$1/barrel</t>
  </si>
  <si>
    <t>Up → profit up; down → profit down</t>
  </si>
  <si>
    <t>USD/JPY  ±¥1</t>
  </si>
  <si>
    <t>Yen weak → profit up; Yen strong → down</t>
  </si>
  <si>
    <t>⚠️  For educational purposes only. Not investment advice. Always verify figures against official filings. Past performance does not indicate future results. Japan Stock Alpha — japanstockalpha.com</t>
  </si>
  <si>
    <t xml:space="preserve">  Price ÷ FY2027 guided EPS</t>
    <phoneticPr fontId="19"/>
  </si>
  <si>
    <t>FY 2023</t>
    <phoneticPr fontId="19"/>
  </si>
  <si>
    <t>FY 2024</t>
    <phoneticPr fontId="19"/>
  </si>
  <si>
    <t>FY 2025</t>
    <phoneticPr fontId="19"/>
  </si>
  <si>
    <t>Unit</t>
    <phoneticPr fontId="19"/>
  </si>
  <si>
    <t>¥ mn</t>
  </si>
  <si>
    <t>¥/share</t>
  </si>
  <si>
    <t>%</t>
  </si>
  <si>
    <t>Equity attributable to owners</t>
  </si>
  <si>
    <t>BPS</t>
  </si>
  <si>
    <t>Operating cash flow</t>
  </si>
  <si>
    <t>Investing cash flow</t>
  </si>
  <si>
    <t>Free cash flow</t>
  </si>
  <si>
    <t>Net interest-bearing liabilities excl. leases</t>
  </si>
  <si>
    <t>¥ mn</t>
    <phoneticPr fontId="19"/>
  </si>
  <si>
    <t>Net Income</t>
    <phoneticPr fontId="19"/>
  </si>
  <si>
    <t>EPS</t>
  </si>
  <si>
    <t>EPS</t>
    <phoneticPr fontId="19"/>
  </si>
  <si>
    <t>Actual</t>
    <phoneticPr fontId="19"/>
  </si>
  <si>
    <t>Share Price (Closing Price at the end of FY)</t>
  </si>
  <si>
    <t>Share Price (Closing Price at the end of FY)</t>
    <phoneticPr fontId="19"/>
  </si>
  <si>
    <t>PER</t>
  </si>
  <si>
    <t>PER</t>
    <phoneticPr fontId="19"/>
  </si>
  <si>
    <t>multiple</t>
  </si>
  <si>
    <t>multiple</t>
    <phoneticPr fontId="19"/>
  </si>
  <si>
    <t>¥</t>
  </si>
  <si>
    <t xml:space="preserve">Income </t>
    <phoneticPr fontId="19"/>
  </si>
  <si>
    <t>Cashflow</t>
    <phoneticPr fontId="19"/>
  </si>
  <si>
    <t>Financial Postions</t>
    <phoneticPr fontId="19"/>
  </si>
  <si>
    <t>Total Asset</t>
    <phoneticPr fontId="19"/>
  </si>
  <si>
    <t>Total Equity</t>
    <phoneticPr fontId="19"/>
  </si>
  <si>
    <t>BPS</t>
    <phoneticPr fontId="19"/>
  </si>
  <si>
    <t>¥/share</t>
    <phoneticPr fontId="19"/>
  </si>
  <si>
    <t>Cash &amp; Cash Equivalent</t>
    <phoneticPr fontId="19"/>
  </si>
  <si>
    <t>Key Stats/Stock Data</t>
    <phoneticPr fontId="19"/>
  </si>
  <si>
    <t>Dividend Yield</t>
  </si>
  <si>
    <t>Dividend Yield</t>
    <phoneticPr fontId="19"/>
  </si>
  <si>
    <t>%</t>
    <phoneticPr fontId="19"/>
  </si>
  <si>
    <t>PBR</t>
  </si>
  <si>
    <t>PBR</t>
    <phoneticPr fontId="19"/>
  </si>
  <si>
    <t>Outstanding Shares</t>
  </si>
  <si>
    <t>Outstanding Shares</t>
    <phoneticPr fontId="19"/>
  </si>
  <si>
    <t>No. in thousand</t>
  </si>
  <si>
    <t>No. in thousand</t>
    <phoneticPr fontId="19"/>
  </si>
  <si>
    <t>Note</t>
    <phoneticPr fontId="19"/>
  </si>
  <si>
    <t>Change in Underlying Operating cash flow</t>
    <phoneticPr fontId="19"/>
  </si>
  <si>
    <t>Implied Price — Forward PER Scenarios</t>
    <phoneticPr fontId="19"/>
  </si>
  <si>
    <t>Sector Low</t>
    <phoneticPr fontId="19"/>
  </si>
  <si>
    <t>Sector High</t>
    <phoneticPr fontId="19"/>
  </si>
  <si>
    <t>Sector Mid</t>
    <phoneticPr fontId="19"/>
  </si>
  <si>
    <t>Financial Results</t>
    <phoneticPr fontId="19"/>
  </si>
  <si>
    <t>Market Cap</t>
  </si>
  <si>
    <t>Market Cap</t>
    <phoneticPr fontId="19"/>
  </si>
  <si>
    <t>Summary as of End of FY2025</t>
    <phoneticPr fontId="19"/>
  </si>
  <si>
    <t>Value</t>
    <phoneticPr fontId="19"/>
  </si>
  <si>
    <t>Actual Results</t>
    <phoneticPr fontId="19"/>
  </si>
  <si>
    <t>Net Income/Earnings FY2026</t>
    <phoneticPr fontId="19"/>
  </si>
  <si>
    <t>Underlying Operating Cashflow</t>
    <phoneticPr fontId="19"/>
  </si>
  <si>
    <t>Dividends</t>
    <phoneticPr fontId="19"/>
  </si>
  <si>
    <t>Market</t>
    <phoneticPr fontId="19"/>
  </si>
  <si>
    <t>Guidance from Earning Report</t>
    <phoneticPr fontId="19"/>
  </si>
  <si>
    <t>Sector PER - Low (appx)</t>
    <phoneticPr fontId="19"/>
  </si>
  <si>
    <t>Sector PER - High (appx)</t>
    <phoneticPr fontId="19"/>
  </si>
  <si>
    <t>Sector PER - Mid (appx)</t>
    <phoneticPr fontId="19"/>
  </si>
  <si>
    <t>Upside / (Downside)</t>
    <phoneticPr fontId="19"/>
  </si>
  <si>
    <t>Free Cashflow</t>
    <phoneticPr fontId="19"/>
  </si>
  <si>
    <t>Free Cashflow Growth Rate</t>
    <phoneticPr fontId="19"/>
  </si>
  <si>
    <t>No.in thousand</t>
    <phoneticPr fontId="19"/>
  </si>
  <si>
    <t>FCF / Share</t>
    <phoneticPr fontId="19"/>
  </si>
  <si>
    <t>Discount Factor</t>
    <phoneticPr fontId="19"/>
  </si>
  <si>
    <t>Cumulative PV</t>
    <phoneticPr fontId="19"/>
  </si>
  <si>
    <t>factor</t>
    <phoneticPr fontId="19"/>
  </si>
  <si>
    <t>Terminal Value</t>
    <phoneticPr fontId="19"/>
  </si>
  <si>
    <t>Inputs - Multiples Valuation</t>
    <phoneticPr fontId="19"/>
  </si>
  <si>
    <t>Terminal Value / Share</t>
    <phoneticPr fontId="19"/>
  </si>
  <si>
    <t>Present Value - FCF/Share</t>
    <phoneticPr fontId="19"/>
  </si>
  <si>
    <t>Present Value - TV/Share</t>
    <phoneticPr fontId="19"/>
  </si>
  <si>
    <t>Present Value - FCF &amp; TV / Share</t>
    <phoneticPr fontId="19"/>
  </si>
  <si>
    <t>Total</t>
    <phoneticPr fontId="19"/>
  </si>
  <si>
    <t>Inputs - DCF</t>
    <phoneticPr fontId="19"/>
  </si>
  <si>
    <t>Summary - DCF</t>
    <phoneticPr fontId="19"/>
  </si>
  <si>
    <t>Calculations - DCF</t>
    <phoneticPr fontId="19"/>
  </si>
  <si>
    <t>Share Buy Back at the end of FY2026</t>
    <phoneticPr fontId="19"/>
  </si>
  <si>
    <t>Share Buy Back Execution Price</t>
    <phoneticPr fontId="19"/>
  </si>
  <si>
    <t>No. of cancelled shares</t>
    <phoneticPr fontId="19"/>
  </si>
  <si>
    <t>Outstanding Shares post Share Buy Back in FY2026</t>
    <phoneticPr fontId="19"/>
  </si>
  <si>
    <t>No Share Buy Back</t>
    <phoneticPr fontId="19"/>
  </si>
  <si>
    <t>With Share Buy Back</t>
    <phoneticPr fontId="19"/>
  </si>
  <si>
    <t>Base</t>
    <phoneticPr fontId="19"/>
  </si>
  <si>
    <t>Upside</t>
    <phoneticPr fontId="19"/>
  </si>
  <si>
    <t>Implied Price — P/B Scenarios</t>
    <phoneticPr fontId="19"/>
  </si>
  <si>
    <t>Forward EPS</t>
    <phoneticPr fontId="19"/>
  </si>
  <si>
    <t>Forward PER (at current price)</t>
    <phoneticPr fontId="19"/>
  </si>
  <si>
    <t>CurrentPrice</t>
    <phoneticPr fontId="19"/>
  </si>
  <si>
    <t>ForwardPER</t>
    <phoneticPr fontId="19"/>
  </si>
  <si>
    <t>Sensitivity Inputs</t>
    <phoneticPr fontId="19"/>
  </si>
  <si>
    <t>Net Profit  (¥ mn)</t>
    <phoneticPr fontId="19"/>
  </si>
  <si>
    <t>EPS  (¥)</t>
    <phoneticPr fontId="19"/>
  </si>
  <si>
    <t>Dividend  (¥/share)</t>
    <phoneticPr fontId="19"/>
  </si>
  <si>
    <t>PER Forward 17x (Mid Case)</t>
    <phoneticPr fontId="19"/>
  </si>
  <si>
    <t>P/B 2.0 ×  (historical avg)</t>
    <phoneticPr fontId="19"/>
  </si>
  <si>
    <t>DCF  Base case</t>
    <phoneticPr fontId="19"/>
  </si>
  <si>
    <t>*DCF Base Case with Share Buy Back</t>
    <phoneticPr fontId="19"/>
  </si>
  <si>
    <t>Three Numbers to Know First</t>
    <phoneticPr fontId="19"/>
  </si>
  <si>
    <t>Sector PBR - Low (appx)</t>
    <phoneticPr fontId="19"/>
  </si>
  <si>
    <t>Sector PBR - Mid (appx)</t>
    <phoneticPr fontId="19"/>
  </si>
  <si>
    <t>Sector PBR - High (appx)</t>
    <phoneticPr fontId="19"/>
  </si>
  <si>
    <r>
      <t xml:space="preserve">  </t>
    </r>
    <r>
      <rPr>
        <b/>
        <sz val="11"/>
        <color theme="0"/>
        <rFont val="Segoe UI Emoji"/>
        <family val="2"/>
      </rPr>
      <t>📈</t>
    </r>
    <r>
      <rPr>
        <b/>
        <sz val="11"/>
        <color theme="0"/>
        <rFont val="Arial"/>
        <family val="2"/>
      </rPr>
      <t xml:space="preserve">  Key Financials  —  FY3/2026 Actual &amp; FY3/2027 Guidance  (</t>
    </r>
    <r>
      <rPr>
        <b/>
        <sz val="11"/>
        <color theme="0"/>
        <rFont val="Segoe UI Emoji"/>
        <family val="2"/>
      </rPr>
      <t>✅</t>
    </r>
    <r>
      <rPr>
        <b/>
        <sz val="11"/>
        <color theme="0"/>
        <rFont val="Arial"/>
        <family val="2"/>
      </rPr>
      <t xml:space="preserve"> = confirmed in earnings release)</t>
    </r>
    <phoneticPr fontId="19"/>
  </si>
  <si>
    <t>&lt;--Less than 70% = Healthy</t>
    <phoneticPr fontId="19"/>
  </si>
  <si>
    <t>Current Share Price (as of 22 May 2026)</t>
    <phoneticPr fontId="19"/>
  </si>
  <si>
    <t>Company Name</t>
    <phoneticPr fontId="19"/>
  </si>
  <si>
    <t>Ticker</t>
    <phoneticPr fontId="19"/>
  </si>
  <si>
    <t>Valuation Dashboard (Sample/Simplified)</t>
    <phoneticPr fontId="19"/>
  </si>
  <si>
    <t>Historical Results</t>
    <phoneticPr fontId="19"/>
  </si>
  <si>
    <t>Key Assumptions</t>
    <phoneticPr fontId="19"/>
  </si>
  <si>
    <t>Multiple Valuation</t>
    <phoneticPr fontId="19"/>
  </si>
  <si>
    <t>DCF Valuation</t>
    <phoneticPr fontId="19"/>
  </si>
  <si>
    <t>vs Current</t>
  </si>
  <si>
    <t>vs Current</t>
    <phoneticPr fontId="19"/>
  </si>
  <si>
    <t xml:space="preserve">Consensus Analyst avg </t>
    <phoneticPr fontId="19"/>
  </si>
  <si>
    <r>
      <t xml:space="preserve">  </t>
    </r>
    <r>
      <rPr>
        <b/>
        <sz val="11"/>
        <color theme="0"/>
        <rFont val="Segoe UI Emoji"/>
        <family val="2"/>
      </rPr>
      <t>📡</t>
    </r>
    <r>
      <rPr>
        <b/>
        <sz val="11"/>
        <color theme="0"/>
        <rFont val="Arial"/>
        <family val="2"/>
      </rPr>
      <t xml:space="preserve">  Analyst Ratings  (22 May 2026)</t>
    </r>
    <phoneticPr fontId="19"/>
  </si>
  <si>
    <t>Itochu Corporation</t>
    <phoneticPr fontId="19"/>
  </si>
  <si>
    <t>8001.T</t>
    <phoneticPr fontId="19"/>
  </si>
  <si>
    <t>Line item</t>
  </si>
  <si>
    <t>FY2023 (Mar.2024)</t>
  </si>
  <si>
    <t>FY2024 (Mar.2025)</t>
  </si>
  <si>
    <t>FY2025 (Mar.2026)</t>
  </si>
  <si>
    <t>Revenues from sale of goods</t>
  </si>
  <si>
    <t>Revenues from rendering of services and royalties</t>
  </si>
  <si>
    <t>Total revenues</t>
  </si>
  <si>
    <t>Cost of sale of goods</t>
  </si>
  <si>
    <t>Cost of rendering of services and royalties</t>
  </si>
  <si>
    <t>Total cost</t>
  </si>
  <si>
    <t>Gross trading profit</t>
  </si>
  <si>
    <t>Selling, general and administrative expenses</t>
  </si>
  <si>
    <t>Provision for doubtful accounts</t>
  </si>
  <si>
    <t>Gains (losses) on investments</t>
  </si>
  <si>
    <t>Gains (losses) on property, plant, equipment and intangible assets</t>
  </si>
  <si>
    <t>Other-net</t>
  </si>
  <si>
    <t>Total other-losses</t>
  </si>
  <si>
    <t>Interest income</t>
  </si>
  <si>
    <t>Dividends received</t>
  </si>
  <si>
    <t>Interest expense</t>
  </si>
  <si>
    <t>Total financial income</t>
  </si>
  <si>
    <t>Equity in earnings of associates and joint ventures</t>
  </si>
  <si>
    <t>Profit before tax</t>
  </si>
  <si>
    <t>Income tax expense</t>
  </si>
  <si>
    <t>Net profit</t>
  </si>
  <si>
    <t>Net profit attributable to ITOCHU</t>
  </si>
  <si>
    <t>Net profit attributable to non-controlling interests</t>
  </si>
  <si>
    <t>FVTOCI financial assets</t>
  </si>
  <si>
    <t>Remeasurement of net defined pension liability</t>
  </si>
  <si>
    <t>OCI in associates and joint ventures - not reclassified</t>
  </si>
  <si>
    <t>Translation adjustments</t>
  </si>
  <si>
    <t>Cash flow hedges</t>
  </si>
  <si>
    <t>OCI in associates and joint ventures - reclassified</t>
  </si>
  <si>
    <t>Total other comprehensive income, net of tax</t>
  </si>
  <si>
    <t>Total comprehensive income</t>
  </si>
  <si>
    <t>Total comprehensive income attributable to ITOCHU</t>
  </si>
  <si>
    <t>Total comprehensive income attributable to non-controlling interests</t>
  </si>
  <si>
    <t>Trading income (reference)</t>
  </si>
  <si>
    <t>Cash and cash equivalents</t>
  </si>
  <si>
    <t>Time deposits</t>
  </si>
  <si>
    <t>Trade receivables</t>
  </si>
  <si>
    <t>Other current receivables</t>
  </si>
  <si>
    <t>Other current financial assets</t>
  </si>
  <si>
    <t>Inventories</t>
  </si>
  <si>
    <t>Advances to suppliers</t>
  </si>
  <si>
    <t>Other current assets</t>
  </si>
  <si>
    <t>Total current assets</t>
  </si>
  <si>
    <t>Investments accounted for by the equity method</t>
  </si>
  <si>
    <t>Other investments</t>
  </si>
  <si>
    <t>Non-current receivables</t>
  </si>
  <si>
    <t>Non-current financial assets other than investments and receivables</t>
  </si>
  <si>
    <t>Property, plant and equipment</t>
  </si>
  <si>
    <t>Investment property</t>
  </si>
  <si>
    <t>Goodwill and intangible assets</t>
  </si>
  <si>
    <t>Deferred tax assets</t>
  </si>
  <si>
    <t>Other non-current assets</t>
  </si>
  <si>
    <t>Total non-current assets</t>
  </si>
  <si>
    <t>Total assets</t>
  </si>
  <si>
    <t>Short-term debentures and borrowings</t>
  </si>
  <si>
    <t>Lease liabilities (short-term)</t>
  </si>
  <si>
    <t>Trade payables</t>
  </si>
  <si>
    <t>Other current payables</t>
  </si>
  <si>
    <t>Other current financial liabilities</t>
  </si>
  <si>
    <t>Current tax liabilities</t>
  </si>
  <si>
    <t>Advances from customers</t>
  </si>
  <si>
    <t>Other current liabilities</t>
  </si>
  <si>
    <t>Total current liabilities</t>
  </si>
  <si>
    <t>Long-term debentures and borrowings</t>
  </si>
  <si>
    <t>Lease liabilities (long-term)</t>
  </si>
  <si>
    <t>Other non-current financial liabilities</t>
  </si>
  <si>
    <t>Non-current liabilities for employee benefits</t>
  </si>
  <si>
    <t>Deferred tax liabilities</t>
  </si>
  <si>
    <t>Other non-current liabilities</t>
  </si>
  <si>
    <t>Total non-current liabilities</t>
  </si>
  <si>
    <t>Total liabilities</t>
  </si>
  <si>
    <t>Common stock</t>
  </si>
  <si>
    <t>Capital surplus</t>
  </si>
  <si>
    <t>Retained earnings</t>
  </si>
  <si>
    <t>Total other components of equity</t>
  </si>
  <si>
    <t>Treasury stock</t>
  </si>
  <si>
    <t>Total shareholders’ equity</t>
  </si>
  <si>
    <t>Non-controlling interests</t>
  </si>
  <si>
    <t>Total equity</t>
  </si>
  <si>
    <t>Total liabilities and equity</t>
  </si>
  <si>
    <t>Depreciation and amortization</t>
  </si>
  <si>
    <t>(Gains) losses on investments</t>
  </si>
  <si>
    <t>(Gains) losses on property, plant, equipment and intangible assets</t>
  </si>
  <si>
    <t>Financial (income) loss</t>
  </si>
  <si>
    <t>Provision for doubtful accounts and other provisions</t>
  </si>
  <si>
    <t>Changes in assets and liabilities, other-net</t>
  </si>
  <si>
    <t>Proceeds from interest</t>
  </si>
  <si>
    <t>Proceeds from dividends</t>
  </si>
  <si>
    <t>Payments for interest</t>
  </si>
  <si>
    <t>Payments for income taxes</t>
  </si>
  <si>
    <t>Net cash provided by (used in) operating activities</t>
  </si>
  <si>
    <t>Net change in investments accounted for by the equity method</t>
  </si>
  <si>
    <t>Net change in other investments</t>
  </si>
  <si>
    <t>Net change in loans receivable</t>
  </si>
  <si>
    <t>Net change in property, plant, equipment and intangible assets</t>
  </si>
  <si>
    <t>Net change in time deposits</t>
  </si>
  <si>
    <t>Net cash provided by (used in) investing activities</t>
  </si>
  <si>
    <t>Net change in debentures and loans payable</t>
  </si>
  <si>
    <t>Repayments of lease liabilities</t>
  </si>
  <si>
    <t>Cash dividends</t>
  </si>
  <si>
    <t>Net change in treasury stock</t>
  </si>
  <si>
    <t>Other</t>
  </si>
  <si>
    <t>Net cash provided by (used in) financing activities</t>
  </si>
  <si>
    <t>Net change in cash and cash equivalents</t>
  </si>
  <si>
    <t>Cash and cash equivalents at the beginning of the year</t>
  </si>
  <si>
    <t>Effect of exchange rate changes on cash and cash equivalents</t>
  </si>
  <si>
    <t>Cash and cash equivalents at the end of the year</t>
  </si>
  <si>
    <t>Upside - Share Buy Back</t>
    <phoneticPr fontId="19"/>
  </si>
  <si>
    <t>±¥3.2B/year</t>
    <phoneticPr fontId="19"/>
  </si>
  <si>
    <t>±¥0.08B/year</t>
    <phoneticPr fontId="19"/>
  </si>
  <si>
    <t>*Core Operating cash flow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</si>
</sst>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\¥#,##0;&quot;(¥&quot;#,##0\);\-"/>
    <numFmt numFmtId="177" formatCode="0.0%;\(0.0%\);\-"/>
    <numFmt numFmtId="178" formatCode="\¥#,##0.0\B;&quot;(¥&quot;#,##0.0&quot;B)&quot;;\-"/>
    <numFmt numFmtId="179" formatCode="0.0\x;\(0.0&quot;x)&quot;;\-"/>
    <numFmt numFmtId="180" formatCode="_(#,##0_);\(#,##0\);_(&quot;-&quot;_);_(@_)"/>
    <numFmt numFmtId="181" formatCode="_(#,##0.0_);\(#,##0.0\);_(&quot;-&quot;_);_(@_)"/>
    <numFmt numFmtId="182" formatCode="_(#,##0.00_);\(#,##0.00\);_(&quot;-&quot;_);_(@_)"/>
    <numFmt numFmtId="183" formatCode="0000\A"/>
    <numFmt numFmtId="184" formatCode="#,##0;[Red]\(#,##0\);\-"/>
    <numFmt numFmtId="185" formatCode="0.0%;[Red]\(0.0%\);\-"/>
    <numFmt numFmtId="186" formatCode="_(#,##0.0_)\x;\(#,##0.0\);_(&quot;-&quot;_);_(@_)"/>
    <numFmt numFmtId="187" formatCode="_(#,##0.0%_);\(#,##0.0%\);_(&quot;-&quot;_)_%;_(@_)_%"/>
    <numFmt numFmtId="188" formatCode="_(#,##0.00_)\x;\(#,##0.00\);_(&quot;-&quot;_);_(@_)"/>
    <numFmt numFmtId="189" formatCode="0.00\x;\(0.00&quot;x)&quot;;\-"/>
    <numFmt numFmtId="190" formatCode="&quot;FY&quot;0"/>
    <numFmt numFmtId="191" formatCode="#,##0;[Red]\(#,##0\)"/>
  </numFmts>
  <fonts count="49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9"/>
      <color rgb="FF94A3B8"/>
      <name val="Arial"/>
      <family val="2"/>
    </font>
    <font>
      <b/>
      <sz val="10"/>
      <color rgb="FF0E1E3A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i/>
      <sz val="9"/>
      <color rgb="FF64748B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i/>
      <sz val="8"/>
      <color rgb="FF64748B"/>
      <name val="Arial"/>
      <family val="2"/>
    </font>
    <font>
      <i/>
      <sz val="8"/>
      <color rgb="FF475569"/>
      <name val="Arial"/>
      <family val="2"/>
    </font>
    <font>
      <sz val="9"/>
      <color rgb="FFFFFFFF"/>
      <name val="Arial"/>
      <family val="2"/>
    </font>
    <font>
      <b/>
      <sz val="18"/>
      <color rgb="FFFFFFFF"/>
      <name val="Arial"/>
      <family val="2"/>
    </font>
    <font>
      <i/>
      <sz val="8"/>
      <color rgb="FFFFFFFF"/>
      <name val="Arial"/>
      <family val="2"/>
    </font>
    <font>
      <b/>
      <sz val="10"/>
      <color rgb="FFB45309"/>
      <name val="Arial"/>
      <family val="2"/>
    </font>
    <font>
      <i/>
      <sz val="9"/>
      <color rgb="FF475569"/>
      <name val="Arial"/>
      <family val="2"/>
    </font>
    <font>
      <sz val="9"/>
      <color rgb="FF059669"/>
      <name val="Arial"/>
      <family val="2"/>
    </font>
    <font>
      <i/>
      <sz val="9"/>
      <color rgb="FFDC2626"/>
      <name val="Arial"/>
      <family val="2"/>
    </font>
    <font>
      <b/>
      <sz val="12"/>
      <color theme="0"/>
      <name val="Arial"/>
      <family val="2"/>
    </font>
    <font>
      <sz val="6"/>
      <name val="ＭＳ Ｐゴシック"/>
      <family val="3"/>
      <charset val="128"/>
    </font>
    <font>
      <b/>
      <sz val="15"/>
      <color theme="0"/>
      <name val="Arial"/>
      <family val="2"/>
    </font>
    <font>
      <sz val="11"/>
      <color theme="1"/>
      <name val="Calibri"/>
      <family val="2"/>
    </font>
    <font>
      <sz val="10"/>
      <color theme="1"/>
      <name val="Aptos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2060"/>
      <name val="Arial"/>
      <family val="2"/>
    </font>
    <font>
      <sz val="11"/>
      <color rgb="FF00206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0000FF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charset val="1"/>
    </font>
    <font>
      <i/>
      <sz val="10"/>
      <name val="Arial"/>
      <family val="2"/>
    </font>
    <font>
      <b/>
      <sz val="11"/>
      <color rgb="FF002060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  <charset val="1"/>
    </font>
    <font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rgb="FF00800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Segoe UI Emoji"/>
      <family val="2"/>
    </font>
    <font>
      <sz val="11"/>
      <color theme="1"/>
      <name val="ＭＳ Ｐゴシック"/>
      <family val="2"/>
      <scheme val="minor"/>
    </font>
    <font>
      <b/>
      <sz val="20"/>
      <color rgb="FF002060"/>
      <name val="Arial"/>
      <family val="2"/>
    </font>
    <font>
      <sz val="15"/>
      <color theme="0" tint="-0.4999847407452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E1E3A"/>
        <bgColor rgb="FF0F172A"/>
      </patternFill>
    </fill>
    <fill>
      <patternFill patternType="solid">
        <fgColor rgb="FF334155"/>
        <bgColor rgb="FF1E3A5F"/>
      </patternFill>
    </fill>
    <fill>
      <patternFill patternType="solid">
        <fgColor rgb="FFE2E8F0"/>
        <bgColor rgb="FFE0F2FE"/>
      </patternFill>
    </fill>
    <fill>
      <patternFill patternType="solid">
        <fgColor rgb="FFFFFFFF"/>
        <bgColor rgb="FFF0F9FF"/>
      </patternFill>
    </fill>
    <fill>
      <patternFill patternType="solid">
        <fgColor rgb="FF1E3A5F"/>
        <bgColor rgb="FF334155"/>
      </patternFill>
    </fill>
    <fill>
      <patternFill patternType="solid">
        <fgColor rgb="FF00B0F0"/>
        <bgColor rgb="FF334155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2E8F0"/>
        <bgColor rgb="FFF0F9FF"/>
      </patternFill>
    </fill>
    <fill>
      <patternFill patternType="solid">
        <fgColor rgb="FFFFFFCC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E2E8F0"/>
        <bgColor rgb="FF1E3A5F"/>
      </patternFill>
    </fill>
    <fill>
      <patternFill patternType="solid">
        <fgColor rgb="FFE2E8F0"/>
        <bgColor rgb="FF0F172A"/>
      </patternFill>
    </fill>
  </fills>
  <borders count="26">
    <border>
      <left/>
      <right/>
      <top/>
      <bottom/>
      <diagonal/>
    </border>
    <border>
      <left style="thin">
        <color rgb="FF1E293B"/>
      </left>
      <right/>
      <top style="thin">
        <color rgb="FF1E293B"/>
      </top>
      <bottom style="thin">
        <color rgb="FF1E293B"/>
      </bottom>
      <diagonal/>
    </border>
    <border>
      <left/>
      <right/>
      <top/>
      <bottom style="thin">
        <color rgb="FF1E293B"/>
      </bottom>
      <diagonal/>
    </border>
    <border>
      <left style="thin">
        <color rgb="FF1E293B"/>
      </left>
      <right style="thin">
        <color rgb="FF1E293B"/>
      </right>
      <top style="thin">
        <color rgb="FF1E293B"/>
      </top>
      <bottom style="thin">
        <color rgb="FF1E293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1E293B"/>
      </left>
      <right style="thin">
        <color rgb="FF1E293B"/>
      </right>
      <top/>
      <bottom style="thin">
        <color rgb="FF1E293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E293B"/>
      </right>
      <top style="thin">
        <color rgb="FF1E293B"/>
      </top>
      <bottom style="thin">
        <color rgb="FF1E293B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3">
    <xf numFmtId="0" fontId="0" fillId="0" borderId="0"/>
    <xf numFmtId="0" fontId="21" fillId="0" borderId="0"/>
    <xf numFmtId="0" fontId="46" fillId="0" borderId="0"/>
  </cellStyleXfs>
  <cellXfs count="244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177" fontId="4" fillId="4" borderId="2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179" fontId="12" fillId="6" borderId="0" xfId="0" applyNumberFormat="1" applyFont="1" applyFill="1" applyAlignment="1">
      <alignment horizontal="centerContinuous" vertical="center" wrapText="1"/>
    </xf>
    <xf numFmtId="0" fontId="11" fillId="6" borderId="6" xfId="0" applyFont="1" applyFill="1" applyBorder="1" applyAlignment="1">
      <alignment vertical="center"/>
    </xf>
    <xf numFmtId="179" fontId="12" fillId="6" borderId="8" xfId="0" applyNumberFormat="1" applyFont="1" applyFill="1" applyBorder="1" applyAlignment="1">
      <alignment horizontal="centerContinuous" vertical="center" wrapText="1"/>
    </xf>
    <xf numFmtId="0" fontId="13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/>
    </xf>
    <xf numFmtId="0" fontId="13" fillId="6" borderId="1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176" fontId="12" fillId="2" borderId="7" xfId="0" applyNumberFormat="1" applyFont="1" applyFill="1" applyBorder="1" applyAlignment="1">
      <alignment horizontal="centerContinuous" vertical="center" wrapText="1"/>
    </xf>
    <xf numFmtId="176" fontId="12" fillId="2" borderId="8" xfId="0" applyNumberFormat="1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1" fillId="7" borderId="11" xfId="0" applyFont="1" applyFill="1" applyBorder="1" applyAlignment="1">
      <alignment vertical="center"/>
    </xf>
    <xf numFmtId="0" fontId="11" fillId="7" borderId="6" xfId="0" applyFont="1" applyFill="1" applyBorder="1" applyAlignment="1">
      <alignment vertical="center"/>
    </xf>
    <xf numFmtId="176" fontId="12" fillId="7" borderId="0" xfId="0" applyNumberFormat="1" applyFont="1" applyFill="1" applyAlignment="1">
      <alignment horizontal="centerContinuous" vertical="center" wrapText="1"/>
    </xf>
    <xf numFmtId="176" fontId="12" fillId="7" borderId="8" xfId="0" applyNumberFormat="1" applyFont="1" applyFill="1" applyBorder="1" applyAlignment="1">
      <alignment horizontal="centerContinuous" vertical="center" wrapText="1"/>
    </xf>
    <xf numFmtId="0" fontId="13" fillId="7" borderId="12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83" fontId="3" fillId="0" borderId="0" xfId="0" applyNumberFormat="1" applyFont="1" applyAlignment="1">
      <alignment horizontal="center" vertical="center"/>
    </xf>
    <xf numFmtId="0" fontId="22" fillId="0" borderId="0" xfId="1" applyFont="1" applyAlignment="1">
      <alignment wrapText="1"/>
    </xf>
    <xf numFmtId="185" fontId="22" fillId="0" borderId="0" xfId="1" applyNumberFormat="1" applyFont="1" applyAlignment="1">
      <alignment wrapText="1"/>
    </xf>
    <xf numFmtId="0" fontId="0" fillId="0" borderId="13" xfId="0" applyBorder="1"/>
    <xf numFmtId="0" fontId="4" fillId="0" borderId="2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28" fillId="0" borderId="12" xfId="0" applyFont="1" applyBorder="1"/>
    <xf numFmtId="0" fontId="26" fillId="0" borderId="13" xfId="0" applyFont="1" applyBorder="1"/>
    <xf numFmtId="0" fontId="25" fillId="0" borderId="13" xfId="1" applyFont="1" applyBorder="1" applyAlignment="1">
      <alignment wrapText="1"/>
    </xf>
    <xf numFmtId="0" fontId="26" fillId="0" borderId="0" xfId="0" applyFont="1"/>
    <xf numFmtId="0" fontId="29" fillId="0" borderId="13" xfId="0" applyFont="1" applyBorder="1"/>
    <xf numFmtId="0" fontId="30" fillId="0" borderId="13" xfId="1" applyFont="1" applyBorder="1" applyAlignment="1">
      <alignment wrapText="1"/>
    </xf>
    <xf numFmtId="180" fontId="23" fillId="0" borderId="12" xfId="1" applyNumberFormat="1" applyFont="1" applyBorder="1" applyAlignment="1">
      <alignment horizontal="left" wrapText="1"/>
    </xf>
    <xf numFmtId="0" fontId="31" fillId="0" borderId="2" xfId="0" applyFont="1" applyBorder="1" applyAlignment="1">
      <alignment horizontal="left" vertical="center" wrapText="1" indent="1"/>
    </xf>
    <xf numFmtId="0" fontId="31" fillId="0" borderId="13" xfId="0" applyFont="1" applyBorder="1" applyAlignment="1">
      <alignment horizontal="left" vertical="center" indent="1"/>
    </xf>
    <xf numFmtId="0" fontId="8" fillId="8" borderId="2" xfId="0" applyFont="1" applyFill="1" applyBorder="1" applyAlignment="1">
      <alignment horizontal="left" vertical="center"/>
    </xf>
    <xf numFmtId="0" fontId="32" fillId="8" borderId="2" xfId="0" applyFont="1" applyFill="1" applyBorder="1" applyAlignment="1">
      <alignment horizontal="left" vertical="center"/>
    </xf>
    <xf numFmtId="180" fontId="32" fillId="8" borderId="2" xfId="0" applyNumberFormat="1" applyFont="1" applyFill="1" applyBorder="1" applyAlignment="1">
      <alignment horizontal="right" vertical="center"/>
    </xf>
    <xf numFmtId="180" fontId="33" fillId="8" borderId="2" xfId="0" applyNumberFormat="1" applyFont="1" applyFill="1" applyBorder="1" applyAlignment="1">
      <alignment horizontal="right" vertical="center"/>
    </xf>
    <xf numFmtId="0" fontId="8" fillId="9" borderId="2" xfId="0" applyFont="1" applyFill="1" applyBorder="1" applyAlignment="1">
      <alignment horizontal="left" vertical="center"/>
    </xf>
    <xf numFmtId="0" fontId="32" fillId="9" borderId="2" xfId="0" applyFont="1" applyFill="1" applyBorder="1" applyAlignment="1">
      <alignment horizontal="left" vertical="center"/>
    </xf>
    <xf numFmtId="0" fontId="8" fillId="8" borderId="13" xfId="0" applyFont="1" applyFill="1" applyBorder="1" applyAlignment="1">
      <alignment horizontal="left" vertical="center"/>
    </xf>
    <xf numFmtId="180" fontId="1" fillId="0" borderId="13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right" vertical="center"/>
    </xf>
    <xf numFmtId="0" fontId="34" fillId="9" borderId="2" xfId="0" applyFont="1" applyFill="1" applyBorder="1" applyAlignment="1">
      <alignment horizontal="left" vertical="center"/>
    </xf>
    <xf numFmtId="180" fontId="35" fillId="9" borderId="13" xfId="0" applyNumberFormat="1" applyFont="1" applyFill="1" applyBorder="1" applyAlignment="1">
      <alignment horizontal="right" vertical="center"/>
    </xf>
    <xf numFmtId="180" fontId="35" fillId="9" borderId="2" xfId="0" applyNumberFormat="1" applyFont="1" applyFill="1" applyBorder="1" applyAlignment="1">
      <alignment horizontal="right" vertical="center"/>
    </xf>
    <xf numFmtId="180" fontId="1" fillId="0" borderId="13" xfId="1" applyNumberFormat="1" applyFont="1" applyBorder="1" applyAlignment="1">
      <alignment wrapText="1"/>
    </xf>
    <xf numFmtId="0" fontId="36" fillId="0" borderId="0" xfId="0" applyFont="1"/>
    <xf numFmtId="180" fontId="35" fillId="8" borderId="13" xfId="0" applyNumberFormat="1" applyFont="1" applyFill="1" applyBorder="1" applyAlignment="1">
      <alignment horizontal="right" vertical="center"/>
    </xf>
    <xf numFmtId="187" fontId="1" fillId="0" borderId="13" xfId="1" applyNumberFormat="1" applyFont="1" applyBorder="1" applyAlignment="1">
      <alignment wrapText="1"/>
    </xf>
    <xf numFmtId="186" fontId="35" fillId="0" borderId="2" xfId="0" applyNumberFormat="1" applyFont="1" applyBorder="1" applyAlignment="1">
      <alignment horizontal="right" vertical="center"/>
    </xf>
    <xf numFmtId="0" fontId="31" fillId="0" borderId="2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left" vertical="center" wrapText="1"/>
    </xf>
    <xf numFmtId="180" fontId="37" fillId="0" borderId="2" xfId="0" applyNumberFormat="1" applyFont="1" applyBorder="1" applyAlignment="1">
      <alignment horizontal="right" vertical="center"/>
    </xf>
    <xf numFmtId="187" fontId="37" fillId="0" borderId="2" xfId="0" applyNumberFormat="1" applyFont="1" applyBorder="1" applyAlignment="1">
      <alignment horizontal="right" vertical="center"/>
    </xf>
    <xf numFmtId="180" fontId="1" fillId="0" borderId="2" xfId="0" applyNumberFormat="1" applyFont="1" applyBorder="1" applyAlignment="1">
      <alignment horizontal="left" vertical="center"/>
    </xf>
    <xf numFmtId="180" fontId="37" fillId="9" borderId="2" xfId="0" applyNumberFormat="1" applyFont="1" applyFill="1" applyBorder="1" applyAlignment="1">
      <alignment horizontal="left" vertical="center"/>
    </xf>
    <xf numFmtId="180" fontId="1" fillId="9" borderId="2" xfId="0" applyNumberFormat="1" applyFont="1" applyFill="1" applyBorder="1" applyAlignment="1">
      <alignment horizontal="left" vertical="center"/>
    </xf>
    <xf numFmtId="180" fontId="1" fillId="0" borderId="13" xfId="0" applyNumberFormat="1" applyFont="1" applyBorder="1" applyAlignment="1">
      <alignment horizontal="left" vertical="center"/>
    </xf>
    <xf numFmtId="180" fontId="36" fillId="0" borderId="0" xfId="0" applyNumberFormat="1" applyFont="1" applyAlignment="1">
      <alignment horizontal="left"/>
    </xf>
    <xf numFmtId="180" fontId="1" fillId="8" borderId="13" xfId="0" applyNumberFormat="1" applyFont="1" applyFill="1" applyBorder="1" applyAlignment="1">
      <alignment horizontal="left" vertical="center"/>
    </xf>
    <xf numFmtId="184" fontId="1" fillId="0" borderId="13" xfId="1" applyNumberFormat="1" applyFont="1" applyBorder="1" applyAlignment="1">
      <alignment horizontal="left" wrapText="1"/>
    </xf>
    <xf numFmtId="184" fontId="1" fillId="0" borderId="12" xfId="1" applyNumberFormat="1" applyFont="1" applyBorder="1" applyAlignment="1">
      <alignment horizontal="left" wrapText="1"/>
    </xf>
    <xf numFmtId="0" fontId="23" fillId="0" borderId="0" xfId="0" applyFont="1"/>
    <xf numFmtId="0" fontId="25" fillId="0" borderId="0" xfId="0" applyFont="1"/>
    <xf numFmtId="178" fontId="5" fillId="0" borderId="2" xfId="0" applyNumberFormat="1" applyFont="1" applyBorder="1" applyAlignment="1">
      <alignment horizontal="right" vertical="center"/>
    </xf>
    <xf numFmtId="0" fontId="30" fillId="0" borderId="0" xfId="1" applyFont="1" applyAlignment="1">
      <alignment wrapText="1"/>
    </xf>
    <xf numFmtId="180" fontId="32" fillId="8" borderId="12" xfId="0" applyNumberFormat="1" applyFont="1" applyFill="1" applyBorder="1" applyAlignment="1">
      <alignment horizontal="right" vertical="center"/>
    </xf>
    <xf numFmtId="0" fontId="3" fillId="10" borderId="11" xfId="0" applyFont="1" applyFill="1" applyBorder="1"/>
    <xf numFmtId="0" fontId="3" fillId="10" borderId="11" xfId="0" applyFont="1" applyFill="1" applyBorder="1" applyAlignment="1">
      <alignment vertical="top"/>
    </xf>
    <xf numFmtId="183" fontId="3" fillId="10" borderId="11" xfId="0" applyNumberFormat="1" applyFont="1" applyFill="1" applyBorder="1" applyAlignment="1">
      <alignment horizontal="center"/>
    </xf>
    <xf numFmtId="183" fontId="23" fillId="10" borderId="11" xfId="0" applyNumberFormat="1" applyFont="1" applyFill="1" applyBorder="1" applyAlignment="1">
      <alignment horizontal="center" vertical="top" wrapText="1"/>
    </xf>
    <xf numFmtId="0" fontId="3" fillId="10" borderId="12" xfId="0" applyFont="1" applyFill="1" applyBorder="1"/>
    <xf numFmtId="183" fontId="24" fillId="10" borderId="12" xfId="0" applyNumberFormat="1" applyFont="1" applyFill="1" applyBorder="1" applyAlignment="1">
      <alignment horizontal="center"/>
    </xf>
    <xf numFmtId="183" fontId="3" fillId="10" borderId="12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/>
    </xf>
    <xf numFmtId="0" fontId="4" fillId="5" borderId="11" xfId="0" applyFont="1" applyFill="1" applyBorder="1" applyAlignment="1">
      <alignment horizontal="left" vertical="center" wrapText="1"/>
    </xf>
    <xf numFmtId="180" fontId="25" fillId="0" borderId="13" xfId="0" applyNumberFormat="1" applyFont="1" applyBorder="1"/>
    <xf numFmtId="186" fontId="1" fillId="0" borderId="0" xfId="0" applyNumberFormat="1" applyFont="1" applyAlignment="1">
      <alignment horizontal="right" vertical="center"/>
    </xf>
    <xf numFmtId="180" fontId="4" fillId="4" borderId="2" xfId="0" applyNumberFormat="1" applyFont="1" applyFill="1" applyBorder="1" applyAlignment="1">
      <alignment horizontal="right" vertical="center"/>
    </xf>
    <xf numFmtId="180" fontId="4" fillId="5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5" fillId="0" borderId="12" xfId="0" applyFont="1" applyBorder="1"/>
    <xf numFmtId="190" fontId="25" fillId="0" borderId="12" xfId="0" applyNumberFormat="1" applyFont="1" applyBorder="1" applyAlignment="1">
      <alignment horizontal="center"/>
    </xf>
    <xf numFmtId="0" fontId="25" fillId="0" borderId="11" xfId="0" applyFont="1" applyBorder="1"/>
    <xf numFmtId="180" fontId="30" fillId="0" borderId="0" xfId="0" applyNumberFormat="1" applyFont="1"/>
    <xf numFmtId="0" fontId="25" fillId="9" borderId="16" xfId="0" applyFont="1" applyFill="1" applyBorder="1" applyAlignment="1">
      <alignment horizontal="center"/>
    </xf>
    <xf numFmtId="190" fontId="25" fillId="9" borderId="17" xfId="0" applyNumberFormat="1" applyFont="1" applyFill="1" applyBorder="1" applyAlignment="1">
      <alignment horizontal="center"/>
    </xf>
    <xf numFmtId="0" fontId="25" fillId="9" borderId="18" xfId="0" applyFont="1" applyFill="1" applyBorder="1"/>
    <xf numFmtId="180" fontId="25" fillId="9" borderId="18" xfId="0" applyNumberFormat="1" applyFont="1" applyFill="1" applyBorder="1"/>
    <xf numFmtId="182" fontId="5" fillId="8" borderId="18" xfId="0" applyNumberFormat="1" applyFont="1" applyFill="1" applyBorder="1"/>
    <xf numFmtId="0" fontId="25" fillId="9" borderId="4" xfId="0" applyFont="1" applyFill="1" applyBorder="1"/>
    <xf numFmtId="180" fontId="8" fillId="12" borderId="15" xfId="0" applyNumberFormat="1" applyFont="1" applyFill="1" applyBorder="1" applyAlignment="1">
      <alignment vertical="center" wrapText="1"/>
    </xf>
    <xf numFmtId="0" fontId="8" fillId="11" borderId="2" xfId="0" applyFont="1" applyFill="1" applyBorder="1" applyAlignment="1">
      <alignment horizontal="left" vertical="center" wrapText="1"/>
    </xf>
    <xf numFmtId="180" fontId="8" fillId="11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Alignment="1">
      <alignment horizontal="right" vertical="center"/>
    </xf>
    <xf numFmtId="0" fontId="3" fillId="14" borderId="12" xfId="0" applyFont="1" applyFill="1" applyBorder="1" applyAlignment="1">
      <alignment vertical="center"/>
    </xf>
    <xf numFmtId="0" fontId="0" fillId="14" borderId="12" xfId="0" applyFill="1" applyBorder="1"/>
    <xf numFmtId="0" fontId="25" fillId="14" borderId="12" xfId="0" applyFont="1" applyFill="1" applyBorder="1"/>
    <xf numFmtId="0" fontId="39" fillId="14" borderId="12" xfId="0" applyFont="1" applyFill="1" applyBorder="1" applyAlignment="1">
      <alignment vertical="center"/>
    </xf>
    <xf numFmtId="0" fontId="3" fillId="14" borderId="2" xfId="0" applyFont="1" applyFill="1" applyBorder="1" applyAlignment="1">
      <alignment vertical="center"/>
    </xf>
    <xf numFmtId="0" fontId="39" fillId="14" borderId="2" xfId="0" applyFont="1" applyFill="1" applyBorder="1" applyAlignment="1">
      <alignment vertical="center"/>
    </xf>
    <xf numFmtId="0" fontId="3" fillId="14" borderId="0" xfId="0" applyFont="1" applyFill="1" applyAlignment="1">
      <alignment vertical="center"/>
    </xf>
    <xf numFmtId="0" fontId="25" fillId="0" borderId="5" xfId="0" applyFont="1" applyBorder="1"/>
    <xf numFmtId="0" fontId="25" fillId="0" borderId="6" xfId="0" applyFont="1" applyBorder="1"/>
    <xf numFmtId="0" fontId="25" fillId="0" borderId="9" xfId="0" applyFont="1" applyBorder="1"/>
    <xf numFmtId="190" fontId="25" fillId="0" borderId="10" xfId="0" applyNumberFormat="1" applyFont="1" applyBorder="1" applyAlignment="1">
      <alignment horizontal="center"/>
    </xf>
    <xf numFmtId="0" fontId="25" fillId="11" borderId="7" xfId="0" applyFont="1" applyFill="1" applyBorder="1"/>
    <xf numFmtId="0" fontId="25" fillId="11" borderId="0" xfId="0" applyFont="1" applyFill="1"/>
    <xf numFmtId="9" fontId="4" fillId="0" borderId="0" xfId="0" applyNumberFormat="1" applyFont="1"/>
    <xf numFmtId="9" fontId="4" fillId="0" borderId="8" xfId="0" applyNumberFormat="1" applyFont="1" applyBorder="1"/>
    <xf numFmtId="0" fontId="25" fillId="0" borderId="7" xfId="0" applyFont="1" applyBorder="1"/>
    <xf numFmtId="180" fontId="4" fillId="5" borderId="0" xfId="0" applyNumberFormat="1" applyFont="1" applyFill="1" applyAlignment="1">
      <alignment horizontal="right" vertical="center" wrapText="1"/>
    </xf>
    <xf numFmtId="180" fontId="25" fillId="0" borderId="0" xfId="0" applyNumberFormat="1" applyFont="1"/>
    <xf numFmtId="180" fontId="25" fillId="0" borderId="8" xfId="0" applyNumberFormat="1" applyFont="1" applyBorder="1"/>
    <xf numFmtId="180" fontId="25" fillId="11" borderId="0" xfId="0" applyNumberFormat="1" applyFont="1" applyFill="1"/>
    <xf numFmtId="180" fontId="25" fillId="11" borderId="8" xfId="0" applyNumberFormat="1" applyFont="1" applyFill="1" applyBorder="1"/>
    <xf numFmtId="182" fontId="25" fillId="11" borderId="0" xfId="0" applyNumberFormat="1" applyFont="1" applyFill="1"/>
    <xf numFmtId="182" fontId="25" fillId="11" borderId="8" xfId="0" applyNumberFormat="1" applyFont="1" applyFill="1" applyBorder="1"/>
    <xf numFmtId="0" fontId="25" fillId="0" borderId="19" xfId="0" applyFont="1" applyBorder="1"/>
    <xf numFmtId="180" fontId="25" fillId="0" borderId="20" xfId="0" applyNumberFormat="1" applyFont="1" applyBorder="1"/>
    <xf numFmtId="0" fontId="30" fillId="11" borderId="19" xfId="0" applyFont="1" applyFill="1" applyBorder="1"/>
    <xf numFmtId="0" fontId="8" fillId="12" borderId="13" xfId="0" applyFont="1" applyFill="1" applyBorder="1" applyAlignment="1">
      <alignment horizontal="left" vertical="center" wrapText="1"/>
    </xf>
    <xf numFmtId="0" fontId="0" fillId="14" borderId="0" xfId="0" applyFill="1"/>
    <xf numFmtId="0" fontId="39" fillId="14" borderId="0" xfId="0" applyFont="1" applyFill="1" applyAlignment="1">
      <alignment vertical="center"/>
    </xf>
    <xf numFmtId="0" fontId="40" fillId="14" borderId="0" xfId="0" applyFont="1" applyFill="1"/>
    <xf numFmtId="183" fontId="39" fillId="14" borderId="0" xfId="0" applyNumberFormat="1" applyFont="1" applyFill="1" applyAlignment="1">
      <alignment horizontal="center" vertical="center"/>
    </xf>
    <xf numFmtId="0" fontId="39" fillId="14" borderId="11" xfId="0" applyFont="1" applyFill="1" applyBorder="1"/>
    <xf numFmtId="0" fontId="39" fillId="14" borderId="0" xfId="1" applyFont="1" applyFill="1" applyAlignment="1">
      <alignment wrapText="1"/>
    </xf>
    <xf numFmtId="189" fontId="1" fillId="0" borderId="13" xfId="0" applyNumberFormat="1" applyFont="1" applyBorder="1" applyAlignment="1">
      <alignment horizontal="right" vertical="center"/>
    </xf>
    <xf numFmtId="180" fontId="4" fillId="0" borderId="13" xfId="0" applyNumberFormat="1" applyFont="1" applyBorder="1" applyAlignment="1">
      <alignment horizontal="right" vertical="center"/>
    </xf>
    <xf numFmtId="180" fontId="8" fillId="0" borderId="13" xfId="0" applyNumberFormat="1" applyFont="1" applyBorder="1" applyAlignment="1">
      <alignment horizontal="right" vertical="center"/>
    </xf>
    <xf numFmtId="177" fontId="0" fillId="0" borderId="13" xfId="0" applyNumberFormat="1" applyBorder="1" applyAlignment="1">
      <alignment horizontal="right" vertical="center"/>
    </xf>
    <xf numFmtId="0" fontId="30" fillId="0" borderId="0" xfId="0" applyFont="1"/>
    <xf numFmtId="0" fontId="35" fillId="15" borderId="14" xfId="0" applyFont="1" applyFill="1" applyBorder="1" applyAlignment="1">
      <alignment horizontal="center" vertical="center" wrapText="1"/>
    </xf>
    <xf numFmtId="0" fontId="35" fillId="15" borderId="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5" fillId="0" borderId="0" xfId="0" applyFont="1"/>
    <xf numFmtId="0" fontId="27" fillId="0" borderId="0" xfId="0" applyFont="1" applyAlignment="1">
      <alignment vertical="center"/>
    </xf>
    <xf numFmtId="0" fontId="41" fillId="0" borderId="0" xfId="0" applyFont="1"/>
    <xf numFmtId="0" fontId="42" fillId="0" borderId="0" xfId="0" applyFont="1"/>
    <xf numFmtId="0" fontId="39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3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0" fontId="43" fillId="0" borderId="23" xfId="0" applyNumberFormat="1" applyFont="1" applyBorder="1" applyAlignment="1">
      <alignment horizontal="right" vertical="center"/>
    </xf>
    <xf numFmtId="177" fontId="43" fillId="0" borderId="23" xfId="0" applyNumberFormat="1" applyFont="1" applyBorder="1" applyAlignment="1">
      <alignment horizontal="right" vertical="center"/>
    </xf>
    <xf numFmtId="186" fontId="43" fillId="0" borderId="23" xfId="0" applyNumberFormat="1" applyFont="1" applyBorder="1" applyAlignment="1">
      <alignment horizontal="right" vertical="center"/>
    </xf>
    <xf numFmtId="180" fontId="43" fillId="0" borderId="22" xfId="0" applyNumberFormat="1" applyFont="1" applyBorder="1"/>
    <xf numFmtId="0" fontId="35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176" fontId="5" fillId="13" borderId="23" xfId="0" applyNumberFormat="1" applyFont="1" applyFill="1" applyBorder="1" applyAlignment="1">
      <alignment horizontal="right" vertical="center"/>
    </xf>
    <xf numFmtId="181" fontId="5" fillId="13" borderId="22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25" fillId="0" borderId="0" xfId="1" applyFont="1" applyAlignment="1">
      <alignment wrapText="1"/>
    </xf>
    <xf numFmtId="180" fontId="4" fillId="0" borderId="23" xfId="0" applyNumberFormat="1" applyFont="1" applyBorder="1" applyAlignment="1">
      <alignment vertical="center" wrapText="1"/>
    </xf>
    <xf numFmtId="180" fontId="4" fillId="0" borderId="24" xfId="0" applyNumberFormat="1" applyFont="1" applyBorder="1" applyAlignment="1">
      <alignment vertical="center" wrapText="1"/>
    </xf>
    <xf numFmtId="187" fontId="4" fillId="0" borderId="23" xfId="0" applyNumberFormat="1" applyFont="1" applyBorder="1" applyAlignment="1">
      <alignment vertical="center" wrapText="1"/>
    </xf>
    <xf numFmtId="186" fontId="4" fillId="0" borderId="22" xfId="0" applyNumberFormat="1" applyFont="1" applyBorder="1" applyAlignment="1">
      <alignment horizontal="right" vertical="center"/>
    </xf>
    <xf numFmtId="186" fontId="4" fillId="0" borderId="23" xfId="0" applyNumberFormat="1" applyFont="1" applyBorder="1" applyAlignment="1">
      <alignment horizontal="right" vertical="center"/>
    </xf>
    <xf numFmtId="0" fontId="4" fillId="5" borderId="12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180" fontId="5" fillId="13" borderId="25" xfId="0" applyNumberFormat="1" applyFont="1" applyFill="1" applyBorder="1" applyAlignment="1">
      <alignment horizontal="right" vertical="center"/>
    </xf>
    <xf numFmtId="180" fontId="5" fillId="13" borderId="24" xfId="0" applyNumberFormat="1" applyFont="1" applyFill="1" applyBorder="1" applyAlignment="1">
      <alignment horizontal="right" vertical="center"/>
    </xf>
    <xf numFmtId="188" fontId="5" fillId="13" borderId="22" xfId="0" applyNumberFormat="1" applyFont="1" applyFill="1" applyBorder="1" applyAlignment="1">
      <alignment horizontal="right" vertical="center"/>
    </xf>
    <xf numFmtId="188" fontId="5" fillId="13" borderId="23" xfId="0" applyNumberFormat="1" applyFont="1" applyFill="1" applyBorder="1" applyAlignment="1">
      <alignment horizontal="right" vertical="center"/>
    </xf>
    <xf numFmtId="0" fontId="23" fillId="5" borderId="12" xfId="0" applyFont="1" applyFill="1" applyBorder="1" applyAlignment="1">
      <alignment horizontal="left" vertical="center" wrapText="1"/>
    </xf>
    <xf numFmtId="186" fontId="1" fillId="0" borderId="12" xfId="0" applyNumberFormat="1" applyFont="1" applyBorder="1" applyAlignment="1">
      <alignment horizontal="right" vertical="center"/>
    </xf>
    <xf numFmtId="180" fontId="4" fillId="0" borderId="0" xfId="0" applyNumberFormat="1" applyFont="1" applyAlignment="1">
      <alignment horizontal="right" vertical="center"/>
    </xf>
    <xf numFmtId="178" fontId="5" fillId="14" borderId="0" xfId="0" applyNumberFormat="1" applyFont="1" applyFill="1" applyAlignment="1">
      <alignment horizontal="right" vertical="center"/>
    </xf>
    <xf numFmtId="0" fontId="6" fillId="14" borderId="0" xfId="0" applyFont="1" applyFill="1" applyAlignment="1">
      <alignment horizontal="left" vertical="center" wrapText="1"/>
    </xf>
    <xf numFmtId="177" fontId="5" fillId="13" borderId="22" xfId="0" applyNumberFormat="1" applyFont="1" applyFill="1" applyBorder="1" applyAlignment="1">
      <alignment horizontal="right" vertical="center"/>
    </xf>
    <xf numFmtId="177" fontId="5" fillId="13" borderId="23" xfId="0" applyNumberFormat="1" applyFont="1" applyFill="1" applyBorder="1" applyAlignment="1">
      <alignment horizontal="right" vertical="center"/>
    </xf>
    <xf numFmtId="189" fontId="1" fillId="0" borderId="2" xfId="0" applyNumberFormat="1" applyFont="1" applyBorder="1" applyAlignment="1">
      <alignment horizontal="right" vertical="center"/>
    </xf>
    <xf numFmtId="180" fontId="4" fillId="0" borderId="2" xfId="0" applyNumberFormat="1" applyFont="1" applyBorder="1" applyAlignment="1">
      <alignment horizontal="right" vertical="center"/>
    </xf>
    <xf numFmtId="180" fontId="8" fillId="0" borderId="2" xfId="0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89" fontId="1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35" fillId="15" borderId="12" xfId="0" applyFont="1" applyFill="1" applyBorder="1" applyAlignment="1">
      <alignment horizontal="center" vertical="center" wrapText="1"/>
    </xf>
    <xf numFmtId="0" fontId="35" fillId="11" borderId="12" xfId="0" applyFont="1" applyFill="1" applyBorder="1" applyAlignment="1">
      <alignment horizontal="center" vertical="center" wrapText="1"/>
    </xf>
    <xf numFmtId="0" fontId="35" fillId="15" borderId="13" xfId="0" applyFont="1" applyFill="1" applyBorder="1" applyAlignment="1">
      <alignment horizontal="center" vertical="center" wrapText="1"/>
    </xf>
    <xf numFmtId="0" fontId="44" fillId="14" borderId="0" xfId="0" applyFont="1" applyFill="1" applyAlignment="1">
      <alignment vertical="center"/>
    </xf>
    <xf numFmtId="0" fontId="20" fillId="16" borderId="0" xfId="0" applyFont="1" applyFill="1" applyAlignment="1">
      <alignment vertical="center"/>
    </xf>
    <xf numFmtId="0" fontId="18" fillId="16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0" fontId="44" fillId="14" borderId="2" xfId="0" applyFont="1" applyFill="1" applyBorder="1" applyAlignment="1">
      <alignment vertical="center"/>
    </xf>
    <xf numFmtId="0" fontId="20" fillId="11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0" fillId="11" borderId="0" xfId="0" applyFill="1"/>
    <xf numFmtId="183" fontId="3" fillId="11" borderId="0" xfId="0" applyNumberFormat="1" applyFont="1" applyFill="1" applyAlignment="1">
      <alignment horizontal="center" vertical="center"/>
    </xf>
    <xf numFmtId="0" fontId="26" fillId="11" borderId="0" xfId="0" applyFont="1" applyFill="1"/>
    <xf numFmtId="0" fontId="46" fillId="0" borderId="0" xfId="2"/>
    <xf numFmtId="181" fontId="1" fillId="0" borderId="12" xfId="1" applyNumberFormat="1" applyFont="1" applyBorder="1" applyAlignment="1">
      <alignment wrapText="1"/>
    </xf>
    <xf numFmtId="181" fontId="1" fillId="0" borderId="13" xfId="1" applyNumberFormat="1" applyFont="1" applyBorder="1" applyAlignment="1">
      <alignment wrapText="1"/>
    </xf>
    <xf numFmtId="0" fontId="5" fillId="13" borderId="23" xfId="0" applyFont="1" applyFill="1" applyBorder="1"/>
    <xf numFmtId="0" fontId="5" fillId="13" borderId="22" xfId="0" applyFont="1" applyFill="1" applyBorder="1"/>
    <xf numFmtId="0" fontId="47" fillId="16" borderId="0" xfId="0" applyFont="1" applyFill="1" applyAlignment="1">
      <alignment vertical="center"/>
    </xf>
    <xf numFmtId="0" fontId="48" fillId="16" borderId="0" xfId="0" applyFont="1" applyFill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191" fontId="46" fillId="0" borderId="0" xfId="2" applyNumberFormat="1"/>
    <xf numFmtId="180" fontId="8" fillId="0" borderId="13" xfId="1" applyNumberFormat="1" applyFont="1" applyBorder="1" applyAlignment="1">
      <alignment wrapText="1"/>
    </xf>
    <xf numFmtId="187" fontId="1" fillId="0" borderId="2" xfId="0" applyNumberFormat="1" applyFont="1" applyBorder="1" applyAlignment="1">
      <alignment horizontal="left" vertical="center"/>
    </xf>
  </cellXfs>
  <cellStyles count="3">
    <cellStyle name="Normal" xfId="1" xr:uid="{269EB9A4-921D-4EB1-91BB-8DDB53AEE798}"/>
    <cellStyle name="標準" xfId="0" builtinId="0"/>
    <cellStyle name="標準 2" xfId="2" xr:uid="{389B020F-1882-4010-A88A-46193C30BCD3}"/>
  </cellStyles>
  <dxfs count="10"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  <dxf>
      <font>
        <b/>
        <sz val="10"/>
        <color rgb="FFDC2626"/>
        <name val="Arial"/>
        <charset val="1"/>
      </font>
      <fill>
        <patternFill>
          <bgColor rgb="FFFEE2E2"/>
        </patternFill>
      </fill>
    </dxf>
    <dxf>
      <font>
        <b/>
        <sz val="10"/>
        <color rgb="FF059669"/>
        <name val="Arial"/>
        <charset val="1"/>
      </font>
      <fill>
        <patternFill>
          <bgColor rgb="FFD1FA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4532D"/>
      <rgbColor rgb="FF000080"/>
      <rgbColor rgb="FFB8952A"/>
      <rgbColor rgb="FF800080"/>
      <rgbColor rgb="FF059669"/>
      <rgbColor rgb="FFF3E8FF"/>
      <rgbColor rgb="FF475569"/>
      <rgbColor rgb="FF9999FF"/>
      <rgbColor rgb="FF7C3AED"/>
      <rgbColor rgb="FFFEF9C3"/>
      <rgbColor rgb="FFE0F2FE"/>
      <rgbColor rgb="FF660066"/>
      <rgbColor rgb="FFFF8080"/>
      <rgbColor rgb="FF0369A1"/>
      <rgbColor rgb="FFE2E8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9FF"/>
      <rgbColor rgb="FFD1FAE5"/>
      <rgbColor rgb="FFFEF3C7"/>
      <rgbColor rgb="FFF0F4F8"/>
      <rgbColor rgb="FFFEF2F2"/>
      <rgbColor rgb="FFEFF6FF"/>
      <rgbColor rgb="FFFEE2E2"/>
      <rgbColor rgb="FF2563EB"/>
      <rgbColor rgb="FF33CCCC"/>
      <rgbColor rgb="FF99CC00"/>
      <rgbColor rgb="FFFFCC00"/>
      <rgbColor rgb="FFF59E0B"/>
      <rgbColor rgb="FFFF6600"/>
      <rgbColor rgb="FF64748B"/>
      <rgbColor rgb="FF94A3B8"/>
      <rgbColor rgb="FF1E3A5F"/>
      <rgbColor rgb="FF16A34A"/>
      <rgbColor rgb="FF0E1E3A"/>
      <rgbColor rgb="FF0F172A"/>
      <rgbColor rgb="FFB45309"/>
      <rgbColor rgb="FF993366"/>
      <rgbColor rgb="FF334155"/>
      <rgbColor rgb="FF1E29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2E8F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E1E3A"/>
  </sheetPr>
  <dimension ref="A1:F35"/>
  <sheetViews>
    <sheetView showGridLines="0" tabSelected="1" zoomScaleNormal="100" workbookViewId="0">
      <selection activeCell="A14" sqref="A14"/>
    </sheetView>
  </sheetViews>
  <sheetFormatPr defaultColWidth="0" defaultRowHeight="15" x14ac:dyDescent="0.25"/>
  <cols>
    <col min="1" max="1" width="37.140625" customWidth="1"/>
    <col min="2" max="6" width="25.7109375" customWidth="1"/>
    <col min="7" max="16384" width="8.7109375" hidden="1"/>
  </cols>
  <sheetData>
    <row r="1" spans="1:6" ht="21.75" customHeight="1" x14ac:dyDescent="0.25">
      <c r="A1" s="233" t="str">
        <f>$B$4&amp;" "&amp;$B$5</f>
        <v>Itochu Corporation 8001.T</v>
      </c>
      <c r="B1" s="219"/>
      <c r="C1" s="219"/>
      <c r="D1" s="219"/>
      <c r="E1" s="219"/>
      <c r="F1" s="219"/>
    </row>
    <row r="2" spans="1:6" ht="21.75" customHeight="1" x14ac:dyDescent="0.25">
      <c r="A2" s="234" t="s">
        <v>155</v>
      </c>
      <c r="B2" s="220"/>
      <c r="C2" s="220"/>
      <c r="D2" s="220"/>
      <c r="E2" s="220"/>
      <c r="F2" s="220"/>
    </row>
    <row r="4" spans="1:6" x14ac:dyDescent="0.25">
      <c r="A4" s="78" t="s">
        <v>153</v>
      </c>
      <c r="B4" s="231" t="s">
        <v>164</v>
      </c>
    </row>
    <row r="5" spans="1:6" x14ac:dyDescent="0.25">
      <c r="A5" s="78" t="s">
        <v>154</v>
      </c>
      <c r="B5" s="232" t="s">
        <v>165</v>
      </c>
    </row>
    <row r="7" spans="1:6" ht="21.75" customHeight="1" x14ac:dyDescent="0.25">
      <c r="A7" s="217" t="s">
        <v>146</v>
      </c>
      <c r="B7" s="217"/>
      <c r="C7" s="217"/>
      <c r="D7" s="217"/>
      <c r="E7" s="217"/>
      <c r="F7" s="217"/>
    </row>
    <row r="8" spans="1:6" ht="18" customHeight="1" x14ac:dyDescent="0.25">
      <c r="A8" s="16" t="s">
        <v>24</v>
      </c>
      <c r="B8" s="17"/>
      <c r="C8" s="14" t="s">
        <v>25</v>
      </c>
      <c r="D8" s="11"/>
      <c r="E8" s="23" t="s">
        <v>26</v>
      </c>
      <c r="F8" s="24"/>
    </row>
    <row r="9" spans="1:6" ht="37.5" customHeight="1" x14ac:dyDescent="0.25">
      <c r="A9" s="18">
        <f>CurrentPrice</f>
        <v>1915</v>
      </c>
      <c r="B9" s="19"/>
      <c r="C9" s="10">
        <f>ForwardPER</f>
        <v>14.090193047368421</v>
      </c>
      <c r="D9" s="12"/>
      <c r="E9" s="25">
        <f>'③ DCF'!C9</f>
        <v>2366.9429514170447</v>
      </c>
      <c r="F9" s="26"/>
    </row>
    <row r="10" spans="1:6" ht="18" customHeight="1" x14ac:dyDescent="0.25">
      <c r="A10" s="20" t="s">
        <v>27</v>
      </c>
      <c r="B10" s="21"/>
      <c r="C10" s="15" t="s">
        <v>43</v>
      </c>
      <c r="D10" s="13"/>
      <c r="E10" s="27"/>
      <c r="F10" s="28"/>
    </row>
    <row r="11" spans="1:6" ht="18" customHeight="1" x14ac:dyDescent="0.25">
      <c r="A11" s="29"/>
      <c r="B11" s="29"/>
      <c r="C11" s="29"/>
      <c r="D11" s="29"/>
      <c r="E11" s="29"/>
      <c r="F11" s="29"/>
    </row>
    <row r="12" spans="1:6" x14ac:dyDescent="0.25">
      <c r="A12" s="215" t="s">
        <v>28</v>
      </c>
      <c r="B12" s="215" t="s">
        <v>12</v>
      </c>
      <c r="C12" s="215" t="s">
        <v>161</v>
      </c>
      <c r="D12" s="215" t="s">
        <v>14</v>
      </c>
      <c r="E12" s="94"/>
      <c r="F12" s="94"/>
    </row>
    <row r="13" spans="1:6" x14ac:dyDescent="0.25">
      <c r="A13" s="121" t="s">
        <v>142</v>
      </c>
      <c r="B13" s="201">
        <f>'② Multiples'!$D$7</f>
        <v>2310.4722476517231</v>
      </c>
      <c r="C13" s="201">
        <f>B13-CurrentPrice</f>
        <v>395.47224765172314</v>
      </c>
      <c r="D13" s="212">
        <f>C13/CurrentPrice</f>
        <v>0.2065129230557301</v>
      </c>
      <c r="E13" s="103"/>
      <c r="F13" s="213"/>
    </row>
    <row r="14" spans="1:6" x14ac:dyDescent="0.25">
      <c r="A14" s="121" t="s">
        <v>143</v>
      </c>
      <c r="B14" s="201">
        <f>'② Multiples'!D13</f>
        <v>1885.5645270549146</v>
      </c>
      <c r="C14" s="201">
        <f>B14-CurrentPrice</f>
        <v>-29.435472945085394</v>
      </c>
      <c r="D14" s="212">
        <f>C14/CurrentPrice</f>
        <v>-1.5371004148869657E-2</v>
      </c>
      <c r="E14" s="103"/>
      <c r="F14" s="213"/>
    </row>
    <row r="15" spans="1:6" x14ac:dyDescent="0.25">
      <c r="A15" s="121" t="s">
        <v>144</v>
      </c>
      <c r="B15" s="211">
        <f>'③ DCF'!C9</f>
        <v>2366.9429514170447</v>
      </c>
      <c r="C15" s="201">
        <f>B15-CurrentPrice</f>
        <v>451.9429514170447</v>
      </c>
      <c r="D15" s="212">
        <f>C15/CurrentPrice</f>
        <v>0.23600154120994501</v>
      </c>
      <c r="E15" s="103"/>
      <c r="F15" s="213"/>
    </row>
    <row r="16" spans="1:6" x14ac:dyDescent="0.25">
      <c r="A16" s="121" t="s">
        <v>145</v>
      </c>
      <c r="B16" s="201">
        <f>'③ DCF'!D9</f>
        <v>2464.6960472934379</v>
      </c>
      <c r="C16" s="201">
        <f>B16-CurrentPrice</f>
        <v>549.69604729343791</v>
      </c>
      <c r="D16" s="212">
        <f>C16/CurrentPrice</f>
        <v>0.28704754427855766</v>
      </c>
      <c r="E16" s="103"/>
      <c r="F16" s="213"/>
    </row>
    <row r="19" spans="1:6" ht="16.5" x14ac:dyDescent="0.25">
      <c r="A19" s="217" t="s">
        <v>150</v>
      </c>
      <c r="B19" s="217"/>
      <c r="C19" s="217"/>
      <c r="D19" s="217"/>
      <c r="E19" s="221"/>
      <c r="F19" s="221"/>
    </row>
    <row r="20" spans="1:6" x14ac:dyDescent="0.25">
      <c r="A20" s="216" t="s">
        <v>7</v>
      </c>
      <c r="B20" s="216" t="s">
        <v>29</v>
      </c>
      <c r="C20" s="216" t="s">
        <v>30</v>
      </c>
      <c r="D20" s="216" t="s">
        <v>31</v>
      </c>
    </row>
    <row r="21" spans="1:6" x14ac:dyDescent="0.25">
      <c r="A21" s="121" t="s">
        <v>139</v>
      </c>
      <c r="B21" s="201">
        <f>'Results&amp;Guidance'!F20</f>
        <v>900283</v>
      </c>
      <c r="C21" s="211">
        <f>'① Assumptions'!$C$21</f>
        <v>950000</v>
      </c>
      <c r="D21" s="122">
        <f>C21/B21-1</f>
        <v>5.5223746310882227E-2</v>
      </c>
    </row>
    <row r="22" spans="1:6" x14ac:dyDescent="0.25">
      <c r="A22" s="121" t="s">
        <v>140</v>
      </c>
      <c r="B22" s="201">
        <f>'Results&amp;Guidance'!F40</f>
        <v>128.79745427446665</v>
      </c>
      <c r="C22" s="211">
        <f>'① Assumptions'!C24</f>
        <v>135.91013221480725</v>
      </c>
      <c r="D22" s="122">
        <f t="shared" ref="D22:D23" si="0">C22/B22-1</f>
        <v>5.5223746310882227E-2</v>
      </c>
    </row>
    <row r="23" spans="1:6" x14ac:dyDescent="0.25">
      <c r="A23" s="121" t="s">
        <v>141</v>
      </c>
      <c r="B23" s="201">
        <f>'① Assumptions'!C12</f>
        <v>42</v>
      </c>
      <c r="C23" s="211">
        <f>'① Assumptions'!C23</f>
        <v>44</v>
      </c>
      <c r="D23" s="122">
        <f t="shared" si="0"/>
        <v>4.7619047619047672E-2</v>
      </c>
    </row>
    <row r="26" spans="1:6" ht="16.5" x14ac:dyDescent="0.25">
      <c r="A26" s="217" t="s">
        <v>163</v>
      </c>
      <c r="B26" s="217"/>
      <c r="C26" s="217"/>
      <c r="D26" s="221"/>
      <c r="E26" s="221"/>
      <c r="F26" s="221"/>
    </row>
    <row r="27" spans="1:6" x14ac:dyDescent="0.25">
      <c r="A27" s="215" t="s">
        <v>32</v>
      </c>
      <c r="B27" s="215" t="s">
        <v>33</v>
      </c>
      <c r="C27" s="215" t="s">
        <v>160</v>
      </c>
      <c r="D27" s="103"/>
    </row>
    <row r="28" spans="1:6" x14ac:dyDescent="0.25">
      <c r="A28" s="121" t="s">
        <v>162</v>
      </c>
      <c r="B28" s="201">
        <v>2500</v>
      </c>
      <c r="C28" s="212">
        <f>B28/CurrentPrice-1</f>
        <v>0.30548302872062671</v>
      </c>
      <c r="D28" s="103"/>
    </row>
    <row r="31" spans="1:6" x14ac:dyDescent="0.25">
      <c r="A31" s="217" t="s">
        <v>34</v>
      </c>
      <c r="B31" s="217"/>
      <c r="C31" s="217"/>
      <c r="D31" s="217"/>
      <c r="E31" s="217"/>
      <c r="F31" s="217"/>
    </row>
    <row r="32" spans="1:6" x14ac:dyDescent="0.25">
      <c r="A32" s="214" t="s">
        <v>35</v>
      </c>
      <c r="B32" s="214" t="s">
        <v>36</v>
      </c>
      <c r="C32" s="214" t="s">
        <v>37</v>
      </c>
      <c r="D32" s="235"/>
      <c r="E32" s="236"/>
      <c r="F32" s="235"/>
    </row>
    <row r="33" spans="1:6" x14ac:dyDescent="0.25">
      <c r="A33" s="3" t="s">
        <v>38</v>
      </c>
      <c r="B33" s="6" t="s">
        <v>279</v>
      </c>
      <c r="C33" s="239" t="s">
        <v>39</v>
      </c>
      <c r="D33" s="237"/>
      <c r="E33" s="238"/>
    </row>
    <row r="34" spans="1:6" x14ac:dyDescent="0.25">
      <c r="A34" s="4" t="s">
        <v>40</v>
      </c>
      <c r="B34" s="7" t="s">
        <v>278</v>
      </c>
      <c r="C34" s="240" t="s">
        <v>41</v>
      </c>
      <c r="D34" s="237"/>
      <c r="E34" s="238"/>
    </row>
    <row r="35" spans="1:6" x14ac:dyDescent="0.25">
      <c r="A35" s="8" t="s">
        <v>42</v>
      </c>
      <c r="B35" s="8"/>
      <c r="C35" s="8"/>
      <c r="D35" s="8"/>
      <c r="E35" s="8"/>
      <c r="F35" s="8"/>
    </row>
  </sheetData>
  <phoneticPr fontId="19"/>
  <conditionalFormatting sqref="D13:D16 C28">
    <cfRule type="cellIs" dxfId="9" priority="6" operator="greaterThan">
      <formula>0</formula>
    </cfRule>
    <cfRule type="cellIs" dxfId="8" priority="7" operator="lessThan">
      <formula>0</formula>
    </cfRule>
  </conditionalFormatting>
  <conditionalFormatting sqref="D21:D23">
    <cfRule type="cellIs" dxfId="7" priority="4" operator="greaterThan">
      <formula>0</formula>
    </cfRule>
    <cfRule type="cellIs" dxfId="6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634D-FF6C-4127-AECA-84C2C68051C8}">
  <sheetPr>
    <tabColor theme="0" tint="-0.499984740745262"/>
  </sheetPr>
  <dimension ref="A1:XFC44"/>
  <sheetViews>
    <sheetView showGridLines="0" topLeftCell="D1" zoomScaleNormal="100" workbookViewId="0">
      <selection activeCell="G23" sqref="G23"/>
    </sheetView>
  </sheetViews>
  <sheetFormatPr defaultColWidth="0" defaultRowHeight="15" x14ac:dyDescent="0.25"/>
  <cols>
    <col min="1" max="1" width="3.140625" customWidth="1"/>
    <col min="2" max="2" width="57.7109375" customWidth="1"/>
    <col min="3" max="6" width="15.7109375" customWidth="1"/>
    <col min="7" max="7" width="71.5703125" bestFit="1" customWidth="1"/>
    <col min="8" max="16383" width="8.7109375" hidden="1"/>
    <col min="16384" max="16384" width="3.140625" hidden="1"/>
  </cols>
  <sheetData>
    <row r="1" spans="1:7" ht="21.75" customHeight="1" x14ac:dyDescent="0.25">
      <c r="A1" s="233" t="str">
        <f>Dashboard!$B$4&amp;" "&amp;Dashboard!$B$5</f>
        <v>Itochu Corporation 8001.T</v>
      </c>
      <c r="B1" s="222"/>
      <c r="C1" s="222"/>
      <c r="D1" s="222"/>
      <c r="E1" s="222"/>
      <c r="F1" s="222"/>
      <c r="G1" s="222"/>
    </row>
    <row r="2" spans="1:7" ht="21.75" customHeight="1" x14ac:dyDescent="0.25">
      <c r="A2" s="234" t="s">
        <v>156</v>
      </c>
      <c r="B2" s="223"/>
      <c r="C2" s="223"/>
      <c r="D2" s="223"/>
      <c r="E2" s="223"/>
      <c r="F2" s="223"/>
      <c r="G2" s="223"/>
    </row>
    <row r="3" spans="1:7" x14ac:dyDescent="0.25">
      <c r="A3" s="224"/>
      <c r="B3" s="224"/>
      <c r="C3" s="224"/>
      <c r="D3" s="225"/>
      <c r="E3" s="225"/>
      <c r="F3" s="225"/>
      <c r="G3" s="226"/>
    </row>
    <row r="4" spans="1:7" x14ac:dyDescent="0.25">
      <c r="A4" s="151" t="s">
        <v>96</v>
      </c>
      <c r="B4" s="151"/>
      <c r="C4" s="151"/>
      <c r="D4" s="152"/>
      <c r="E4" s="152"/>
      <c r="F4" s="152"/>
      <c r="G4" s="153"/>
    </row>
    <row r="5" spans="1:7" x14ac:dyDescent="0.25">
      <c r="A5" s="30"/>
      <c r="B5" s="186"/>
      <c r="C5" s="186" t="s">
        <v>47</v>
      </c>
      <c r="D5" s="89" t="s">
        <v>97</v>
      </c>
      <c r="G5" s="31"/>
    </row>
    <row r="6" spans="1:7" x14ac:dyDescent="0.25">
      <c r="A6" s="30"/>
      <c r="B6" s="179" t="s">
        <v>63</v>
      </c>
      <c r="C6" s="179" t="s">
        <v>75</v>
      </c>
      <c r="D6" s="189">
        <f>F35</f>
        <v>1974.5</v>
      </c>
      <c r="G6" s="31"/>
    </row>
    <row r="7" spans="1:7" x14ac:dyDescent="0.25">
      <c r="A7" s="30"/>
      <c r="B7" s="173" t="s">
        <v>84</v>
      </c>
      <c r="C7" s="173" t="s">
        <v>86</v>
      </c>
      <c r="D7" s="188">
        <f t="shared" ref="D7:D14" si="0">F36</f>
        <v>6989913</v>
      </c>
      <c r="G7" s="31"/>
    </row>
    <row r="8" spans="1:7" x14ac:dyDescent="0.25">
      <c r="A8" s="30"/>
      <c r="B8" s="173" t="s">
        <v>95</v>
      </c>
      <c r="C8" s="121" t="s">
        <v>57</v>
      </c>
      <c r="D8" s="188">
        <f t="shared" si="0"/>
        <v>13801583.218499999</v>
      </c>
      <c r="G8" s="31"/>
    </row>
    <row r="9" spans="1:7" x14ac:dyDescent="0.25">
      <c r="A9" s="30"/>
      <c r="B9" s="121" t="s">
        <v>101</v>
      </c>
      <c r="C9" s="121" t="s">
        <v>75</v>
      </c>
      <c r="D9" s="188">
        <f t="shared" si="0"/>
        <v>42</v>
      </c>
      <c r="G9" s="31"/>
    </row>
    <row r="10" spans="1:7" x14ac:dyDescent="0.25">
      <c r="A10" s="30"/>
      <c r="B10" s="187" t="s">
        <v>79</v>
      </c>
      <c r="C10" s="187" t="s">
        <v>80</v>
      </c>
      <c r="D10" s="190">
        <f t="shared" si="0"/>
        <v>2.1271207900734362E-2</v>
      </c>
      <c r="G10" s="31"/>
    </row>
    <row r="11" spans="1:7" x14ac:dyDescent="0.25">
      <c r="A11" s="30"/>
      <c r="B11" s="187" t="s">
        <v>60</v>
      </c>
      <c r="C11" s="187" t="s">
        <v>68</v>
      </c>
      <c r="D11" s="188">
        <f t="shared" si="0"/>
        <v>128.79745427446665</v>
      </c>
      <c r="G11" s="31"/>
    </row>
    <row r="12" spans="1:7" x14ac:dyDescent="0.25">
      <c r="A12" s="30"/>
      <c r="B12" s="187" t="s">
        <v>74</v>
      </c>
      <c r="C12" s="187" t="s">
        <v>68</v>
      </c>
      <c r="D12" s="188">
        <f t="shared" si="0"/>
        <v>942.7822635274573</v>
      </c>
      <c r="G12" s="31"/>
    </row>
    <row r="13" spans="1:7" x14ac:dyDescent="0.25">
      <c r="A13" s="30"/>
      <c r="B13" s="187" t="s">
        <v>65</v>
      </c>
      <c r="C13" s="187" t="s">
        <v>67</v>
      </c>
      <c r="D13" s="192">
        <f t="shared" si="0"/>
        <v>15.33027194615471</v>
      </c>
      <c r="G13" s="31"/>
    </row>
    <row r="14" spans="1:7" x14ac:dyDescent="0.25">
      <c r="A14" s="30"/>
      <c r="B14" s="187" t="s">
        <v>82</v>
      </c>
      <c r="C14" s="187" t="s">
        <v>67</v>
      </c>
      <c r="D14" s="191">
        <f t="shared" si="0"/>
        <v>2.0943329932961721</v>
      </c>
      <c r="G14" s="31"/>
    </row>
    <row r="15" spans="1:7" x14ac:dyDescent="0.25">
      <c r="A15" s="30"/>
      <c r="B15" s="80"/>
      <c r="C15" s="80"/>
      <c r="D15" s="80"/>
      <c r="G15" s="31"/>
    </row>
    <row r="16" spans="1:7" x14ac:dyDescent="0.25">
      <c r="A16" s="154" t="s">
        <v>93</v>
      </c>
      <c r="B16" s="155"/>
      <c r="C16" s="155"/>
      <c r="D16" s="155"/>
      <c r="E16" s="152"/>
      <c r="F16" s="152"/>
      <c r="G16" s="153"/>
    </row>
    <row r="17" spans="1:7" x14ac:dyDescent="0.25">
      <c r="A17" s="82"/>
      <c r="B17" s="83"/>
      <c r="C17" s="83"/>
      <c r="D17" s="84" t="s">
        <v>44</v>
      </c>
      <c r="E17" s="84" t="s">
        <v>45</v>
      </c>
      <c r="F17" s="84" t="s">
        <v>46</v>
      </c>
      <c r="G17" s="85"/>
    </row>
    <row r="18" spans="1:7" ht="30" customHeight="1" x14ac:dyDescent="0.25">
      <c r="A18" s="86"/>
      <c r="B18" s="86"/>
      <c r="C18" s="86" t="s">
        <v>47</v>
      </c>
      <c r="D18" s="87" t="s">
        <v>61</v>
      </c>
      <c r="E18" s="87" t="s">
        <v>61</v>
      </c>
      <c r="F18" s="87" t="s">
        <v>61</v>
      </c>
      <c r="G18" s="88" t="s">
        <v>87</v>
      </c>
    </row>
    <row r="19" spans="1:7" ht="18" customHeight="1" x14ac:dyDescent="0.25">
      <c r="A19" s="48" t="s">
        <v>69</v>
      </c>
      <c r="B19" s="49"/>
      <c r="C19" s="49"/>
      <c r="D19" s="81"/>
      <c r="E19" s="50"/>
      <c r="F19" s="50"/>
      <c r="G19" s="51"/>
    </row>
    <row r="20" spans="1:7" x14ac:dyDescent="0.25">
      <c r="A20" s="1"/>
      <c r="B20" s="1" t="s">
        <v>58</v>
      </c>
      <c r="C20" s="1" t="s">
        <v>48</v>
      </c>
      <c r="D20" s="55">
        <f>'P&amp;L_Comprehensive'!B23</f>
        <v>801770</v>
      </c>
      <c r="E20" s="55">
        <f>'P&amp;L_Comprehensive'!C23</f>
        <v>880251</v>
      </c>
      <c r="F20" s="55">
        <f>'P&amp;L_Comprehensive'!D23</f>
        <v>900283</v>
      </c>
      <c r="G20" s="69"/>
    </row>
    <row r="21" spans="1:7" x14ac:dyDescent="0.25">
      <c r="A21" s="52" t="s">
        <v>70</v>
      </c>
      <c r="B21" s="53"/>
      <c r="C21" s="53"/>
      <c r="D21" s="57"/>
      <c r="E21" s="57"/>
      <c r="F21" s="57"/>
      <c r="G21" s="70"/>
    </row>
    <row r="22" spans="1:7" x14ac:dyDescent="0.25">
      <c r="A22" s="1"/>
      <c r="B22" s="1" t="s">
        <v>53</v>
      </c>
      <c r="C22" s="1" t="s">
        <v>48</v>
      </c>
      <c r="D22" s="56">
        <f>'Cash Flow'!B15</f>
        <v>978108</v>
      </c>
      <c r="E22" s="56">
        <f>'Cash Flow'!C15</f>
        <v>997278</v>
      </c>
      <c r="F22" s="56">
        <f>'Cash Flow'!D15</f>
        <v>1131837</v>
      </c>
      <c r="G22" s="69"/>
    </row>
    <row r="23" spans="1:7" x14ac:dyDescent="0.25">
      <c r="A23" s="1"/>
      <c r="B23" s="35" t="s">
        <v>280</v>
      </c>
      <c r="C23" s="1" t="s">
        <v>48</v>
      </c>
      <c r="D23" s="56">
        <v>823000</v>
      </c>
      <c r="E23" s="56">
        <v>920000</v>
      </c>
      <c r="F23" s="56">
        <v>940000</v>
      </c>
      <c r="G23" s="69"/>
    </row>
    <row r="24" spans="1:7" x14ac:dyDescent="0.25">
      <c r="A24" s="1"/>
      <c r="B24" s="65" t="s">
        <v>88</v>
      </c>
      <c r="C24" s="66" t="s">
        <v>80</v>
      </c>
      <c r="D24" s="67"/>
      <c r="E24" s="68">
        <f>E23/D23-1</f>
        <v>0.11786148238153094</v>
      </c>
      <c r="F24" s="68">
        <f>F23/E23-1</f>
        <v>2.1739130434782705E-2</v>
      </c>
      <c r="G24" s="243"/>
    </row>
    <row r="25" spans="1:7" x14ac:dyDescent="0.25">
      <c r="A25" s="1"/>
      <c r="B25" s="1" t="s">
        <v>54</v>
      </c>
      <c r="C25" s="1" t="s">
        <v>48</v>
      </c>
      <c r="D25" s="56">
        <f>'Cash Flow'!B21</f>
        <v>-205994</v>
      </c>
      <c r="E25" s="56">
        <f>'Cash Flow'!C21</f>
        <v>-516267</v>
      </c>
      <c r="F25" s="56">
        <f>'Cash Flow'!D21</f>
        <v>-388872</v>
      </c>
      <c r="G25" s="69"/>
    </row>
    <row r="26" spans="1:7" x14ac:dyDescent="0.25">
      <c r="A26" s="1"/>
      <c r="B26" s="1" t="s">
        <v>55</v>
      </c>
      <c r="C26" s="1" t="s">
        <v>48</v>
      </c>
      <c r="D26" s="56">
        <f>D22+D25</f>
        <v>772114</v>
      </c>
      <c r="E26" s="56">
        <f>E22+E25</f>
        <v>481011</v>
      </c>
      <c r="F26" s="56">
        <f>F22+F25</f>
        <v>742965</v>
      </c>
      <c r="G26" s="69"/>
    </row>
    <row r="27" spans="1:7" x14ac:dyDescent="0.25">
      <c r="A27" s="52" t="s">
        <v>71</v>
      </c>
      <c r="B27" s="52"/>
      <c r="C27" s="52"/>
      <c r="D27" s="58"/>
      <c r="E27" s="59"/>
      <c r="F27" s="59"/>
      <c r="G27" s="71"/>
    </row>
    <row r="28" spans="1:7" x14ac:dyDescent="0.25">
      <c r="A28" s="1"/>
      <c r="B28" s="1" t="s">
        <v>72</v>
      </c>
      <c r="C28" s="1" t="s">
        <v>48</v>
      </c>
      <c r="D28" s="60">
        <f>'Balance Sheet'!B21</f>
        <v>14489701</v>
      </c>
      <c r="E28" s="60">
        <f>'Balance Sheet'!C21</f>
        <v>15134264</v>
      </c>
      <c r="F28" s="60">
        <f>'Balance Sheet'!D21</f>
        <v>16732815</v>
      </c>
      <c r="G28" s="72"/>
    </row>
    <row r="29" spans="1:7" x14ac:dyDescent="0.25">
      <c r="A29" s="34"/>
      <c r="B29" s="47" t="s">
        <v>76</v>
      </c>
      <c r="C29" s="37" t="s">
        <v>57</v>
      </c>
      <c r="D29" s="60">
        <f>SUM('Balance Sheet'!B2:B3)</f>
        <v>616017</v>
      </c>
      <c r="E29" s="60">
        <f>SUM('Balance Sheet'!C2:C3)</f>
        <v>589487</v>
      </c>
      <c r="F29" s="60">
        <f>SUM('Balance Sheet'!D2:D3)</f>
        <v>648437</v>
      </c>
      <c r="G29" s="72"/>
    </row>
    <row r="30" spans="1:7" x14ac:dyDescent="0.25">
      <c r="A30" s="1"/>
      <c r="B30" s="1" t="s">
        <v>73</v>
      </c>
      <c r="C30" s="1" t="s">
        <v>48</v>
      </c>
      <c r="D30" s="60">
        <f>'Balance Sheet'!B49</f>
        <v>5992121</v>
      </c>
      <c r="E30" s="60">
        <f>'Balance Sheet'!C49</f>
        <v>6290712</v>
      </c>
      <c r="F30" s="60">
        <f>'Balance Sheet'!D49</f>
        <v>7188259</v>
      </c>
      <c r="G30" s="69"/>
    </row>
    <row r="31" spans="1:7" x14ac:dyDescent="0.25">
      <c r="A31" s="1"/>
      <c r="B31" s="46" t="s">
        <v>51</v>
      </c>
      <c r="C31" s="1" t="s">
        <v>48</v>
      </c>
      <c r="D31" s="60">
        <f>'Balance Sheet'!B47</f>
        <v>5426962</v>
      </c>
      <c r="E31" s="60">
        <f>'Balance Sheet'!C47</f>
        <v>5755072</v>
      </c>
      <c r="F31" s="60">
        <f>'Balance Sheet'!D47</f>
        <v>6589966</v>
      </c>
      <c r="G31" s="69"/>
    </row>
    <row r="32" spans="1:7" x14ac:dyDescent="0.25">
      <c r="A32" s="34"/>
      <c r="B32" s="36" t="s">
        <v>56</v>
      </c>
      <c r="C32" s="37" t="s">
        <v>57</v>
      </c>
      <c r="D32" s="60">
        <f>SUM('Balance Sheet'!B22,'Balance Sheet'!B31)-D29</f>
        <v>2741591</v>
      </c>
      <c r="E32" s="60">
        <f>SUM('Balance Sheet'!C22,'Balance Sheet'!C31)-E29</f>
        <v>2961281</v>
      </c>
      <c r="F32" s="60">
        <f>SUM('Balance Sheet'!D22,'Balance Sheet'!D31)-F29</f>
        <v>3024272</v>
      </c>
      <c r="G32" s="72"/>
    </row>
    <row r="33" spans="1:7" x14ac:dyDescent="0.25">
      <c r="D33" s="61"/>
      <c r="E33" s="61"/>
      <c r="F33" s="61"/>
      <c r="G33" s="73"/>
    </row>
    <row r="34" spans="1:7" x14ac:dyDescent="0.25">
      <c r="A34" s="54" t="s">
        <v>77</v>
      </c>
      <c r="B34" s="54"/>
      <c r="C34" s="54"/>
      <c r="D34" s="62"/>
      <c r="E34" s="62"/>
      <c r="F34" s="62"/>
      <c r="G34" s="74"/>
    </row>
    <row r="35" spans="1:7" x14ac:dyDescent="0.25">
      <c r="A35" s="39"/>
      <c r="B35" s="22" t="s">
        <v>63</v>
      </c>
      <c r="C35" s="22" t="s">
        <v>75</v>
      </c>
      <c r="D35" s="242">
        <v>1293.2</v>
      </c>
      <c r="E35" s="242">
        <v>1380.2</v>
      </c>
      <c r="F35" s="242">
        <v>1974.5</v>
      </c>
      <c r="G35" s="45"/>
    </row>
    <row r="36" spans="1:7" x14ac:dyDescent="0.25">
      <c r="A36" s="38"/>
      <c r="B36" s="36" t="s">
        <v>84</v>
      </c>
      <c r="C36" s="36" t="s">
        <v>86</v>
      </c>
      <c r="D36" s="60">
        <v>7194181</v>
      </c>
      <c r="E36" s="60">
        <v>7088943</v>
      </c>
      <c r="F36" s="60">
        <v>6989913</v>
      </c>
      <c r="G36" s="72"/>
    </row>
    <row r="37" spans="1:7" x14ac:dyDescent="0.25">
      <c r="A37" s="38"/>
      <c r="B37" s="36" t="s">
        <v>95</v>
      </c>
      <c r="C37" s="37" t="s">
        <v>57</v>
      </c>
      <c r="D37" s="60">
        <f>D35*D36/10^3</f>
        <v>9303514.8692000005</v>
      </c>
      <c r="E37" s="60">
        <f t="shared" ref="E37:F37" si="1">E35*E36/10^3</f>
        <v>9784159.1285999995</v>
      </c>
      <c r="F37" s="60">
        <f t="shared" si="1"/>
        <v>13801583.218499999</v>
      </c>
      <c r="G37" s="72"/>
    </row>
    <row r="38" spans="1:7" x14ac:dyDescent="0.25">
      <c r="A38" s="90"/>
      <c r="B38" s="1" t="s">
        <v>101</v>
      </c>
      <c r="C38" s="1" t="s">
        <v>75</v>
      </c>
      <c r="D38" s="229">
        <v>32</v>
      </c>
      <c r="E38" s="229">
        <v>40</v>
      </c>
      <c r="F38" s="229">
        <v>42</v>
      </c>
      <c r="G38" s="69"/>
    </row>
    <row r="39" spans="1:7" s="42" customFormat="1" ht="14.25" x14ac:dyDescent="0.2">
      <c r="A39" s="40"/>
      <c r="B39" s="41" t="s">
        <v>79</v>
      </c>
      <c r="C39" s="41" t="s">
        <v>80</v>
      </c>
      <c r="D39" s="63">
        <f>D38/D35</f>
        <v>2.4744819053510669E-2</v>
      </c>
      <c r="E39" s="63">
        <f>E38/E35</f>
        <v>2.8981307056948267E-2</v>
      </c>
      <c r="F39" s="63">
        <f>F38/F35</f>
        <v>2.1271207900734362E-2</v>
      </c>
      <c r="G39" s="75"/>
    </row>
    <row r="40" spans="1:7" s="42" customFormat="1" ht="14.25" x14ac:dyDescent="0.2">
      <c r="A40" s="40"/>
      <c r="B40" s="41" t="s">
        <v>60</v>
      </c>
      <c r="C40" s="41" t="s">
        <v>68</v>
      </c>
      <c r="D40" s="230">
        <f>D20*10^3/D36</f>
        <v>111.4470153030623</v>
      </c>
      <c r="E40" s="230">
        <f>E20*10^3/E36</f>
        <v>124.17239072171972</v>
      </c>
      <c r="F40" s="230">
        <f>F20*10^3/F36</f>
        <v>128.79745427446665</v>
      </c>
      <c r="G40" s="75"/>
    </row>
    <row r="41" spans="1:7" s="42" customFormat="1" ht="14.25" x14ac:dyDescent="0.2">
      <c r="A41" s="40"/>
      <c r="B41" s="41" t="s">
        <v>74</v>
      </c>
      <c r="C41" s="41" t="s">
        <v>68</v>
      </c>
      <c r="D41" s="60">
        <f>D31*10^3/D36</f>
        <v>754.35438724713765</v>
      </c>
      <c r="E41" s="60">
        <f>E31*10^3/E36</f>
        <v>811.83781559535748</v>
      </c>
      <c r="F41" s="60">
        <f>F31*10^3/F36</f>
        <v>942.7822635274573</v>
      </c>
      <c r="G41" s="75"/>
    </row>
    <row r="42" spans="1:7" s="42" customFormat="1" x14ac:dyDescent="0.25">
      <c r="A42" s="43"/>
      <c r="B42" s="44" t="s">
        <v>65</v>
      </c>
      <c r="C42" s="44" t="s">
        <v>67</v>
      </c>
      <c r="D42" s="64">
        <f>D35/D40</f>
        <v>11.603720355214088</v>
      </c>
      <c r="E42" s="64">
        <f>E35/E40</f>
        <v>11.115192290153605</v>
      </c>
      <c r="F42" s="64">
        <f>F35/F40</f>
        <v>15.33027194615471</v>
      </c>
      <c r="G42" s="76"/>
    </row>
    <row r="43" spans="1:7" s="42" customFormat="1" x14ac:dyDescent="0.25">
      <c r="A43" s="43"/>
      <c r="B43" s="44" t="s">
        <v>82</v>
      </c>
      <c r="C43" s="44" t="s">
        <v>67</v>
      </c>
      <c r="D43" s="64">
        <f>D35/D41</f>
        <v>1.7143136195167759</v>
      </c>
      <c r="E43" s="64">
        <f>E35/E41</f>
        <v>1.7000932618392959</v>
      </c>
      <c r="F43" s="64">
        <f>F35/F41</f>
        <v>2.0943329932961721</v>
      </c>
      <c r="G43" s="75"/>
    </row>
    <row r="44" spans="1:7" x14ac:dyDescent="0.25">
      <c r="B44" s="32"/>
      <c r="C44" s="32"/>
      <c r="D44" s="33"/>
      <c r="E44" s="33"/>
      <c r="F44" s="33"/>
    </row>
  </sheetData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</sheetPr>
  <dimension ref="A1:XFC49"/>
  <sheetViews>
    <sheetView showGridLines="0" zoomScaleNormal="100" workbookViewId="0">
      <pane ySplit="3" topLeftCell="A7" activePane="bottomLeft" state="frozen"/>
      <selection pane="bottomLeft" activeCell="C47" sqref="C47"/>
    </sheetView>
  </sheetViews>
  <sheetFormatPr defaultColWidth="0" defaultRowHeight="15" x14ac:dyDescent="0.25"/>
  <cols>
    <col min="1" max="1" width="45" customWidth="1"/>
    <col min="2" max="3" width="20.7109375" customWidth="1"/>
    <col min="4" max="4" width="20.7109375" style="42" customWidth="1"/>
    <col min="5" max="5" width="57.7109375" customWidth="1"/>
    <col min="6" max="10" width="8.7109375" hidden="1" customWidth="1"/>
    <col min="11" max="16383" width="8.7109375" hidden="1"/>
    <col min="16384" max="16384" width="6.28515625" hidden="1" customWidth="1"/>
  </cols>
  <sheetData>
    <row r="1" spans="1:8" s="225" customFormat="1" ht="21.75" customHeight="1" x14ac:dyDescent="0.25">
      <c r="A1" s="233" t="str">
        <f>Dashboard!$B$4&amp;" "&amp;Dashboard!$B$5</f>
        <v>Itochu Corporation 8001.T</v>
      </c>
      <c r="B1" s="222"/>
      <c r="C1" s="222"/>
      <c r="D1" s="222"/>
      <c r="E1" s="222"/>
    </row>
    <row r="2" spans="1:8" s="225" customFormat="1" ht="21.75" customHeight="1" x14ac:dyDescent="0.25">
      <c r="A2" s="234" t="s">
        <v>157</v>
      </c>
      <c r="B2" s="223"/>
      <c r="C2" s="223"/>
      <c r="D2" s="223"/>
      <c r="E2" s="223"/>
    </row>
    <row r="3" spans="1:8" s="225" customFormat="1" x14ac:dyDescent="0.25">
      <c r="D3" s="227"/>
    </row>
    <row r="4" spans="1:8" x14ac:dyDescent="0.25">
      <c r="A4" s="126" t="s">
        <v>116</v>
      </c>
      <c r="B4" s="126"/>
      <c r="C4" s="126"/>
      <c r="D4" s="126"/>
      <c r="E4" s="126"/>
      <c r="F4" s="126"/>
      <c r="G4" s="126"/>
      <c r="H4" s="126"/>
    </row>
    <row r="5" spans="1:8" x14ac:dyDescent="0.25">
      <c r="A5" s="169"/>
      <c r="B5" s="169"/>
      <c r="C5" s="169"/>
      <c r="D5" s="169"/>
      <c r="E5" s="169"/>
      <c r="F5" s="151"/>
      <c r="G5" s="151"/>
      <c r="H5" s="151"/>
    </row>
    <row r="6" spans="1:8" x14ac:dyDescent="0.25">
      <c r="A6" s="169"/>
      <c r="B6" s="169"/>
      <c r="C6" s="169"/>
      <c r="D6" s="169"/>
      <c r="E6" s="169"/>
      <c r="F6" s="151"/>
      <c r="G6" s="151"/>
      <c r="H6" s="151"/>
    </row>
    <row r="7" spans="1:8" x14ac:dyDescent="0.25">
      <c r="A7" s="178"/>
      <c r="B7" s="178" t="s">
        <v>47</v>
      </c>
      <c r="C7" s="178" t="s">
        <v>8</v>
      </c>
      <c r="D7" s="78"/>
      <c r="E7" s="93"/>
      <c r="F7" s="94"/>
    </row>
    <row r="8" spans="1:8" x14ac:dyDescent="0.25">
      <c r="A8" s="170" t="s">
        <v>98</v>
      </c>
      <c r="B8" s="171"/>
      <c r="C8" s="172"/>
      <c r="D8" s="168"/>
      <c r="E8" s="103"/>
      <c r="F8" s="104"/>
    </row>
    <row r="9" spans="1:8" x14ac:dyDescent="0.25">
      <c r="A9" s="121" t="s">
        <v>62</v>
      </c>
      <c r="B9" s="121" t="s">
        <v>49</v>
      </c>
      <c r="C9" s="174">
        <f>'Results&amp;Guidance'!D6</f>
        <v>1974.5</v>
      </c>
      <c r="D9" s="168"/>
      <c r="E9" s="106"/>
      <c r="F9" s="105"/>
    </row>
    <row r="10" spans="1:8" x14ac:dyDescent="0.25">
      <c r="A10" s="121" t="s">
        <v>83</v>
      </c>
      <c r="B10" s="121" t="s">
        <v>85</v>
      </c>
      <c r="C10" s="174">
        <f>'Results&amp;Guidance'!D7</f>
        <v>6989913</v>
      </c>
      <c r="D10" s="168"/>
      <c r="E10" s="106"/>
      <c r="F10" s="105"/>
    </row>
    <row r="11" spans="1:8" x14ac:dyDescent="0.25">
      <c r="A11" s="173" t="s">
        <v>94</v>
      </c>
      <c r="B11" s="173" t="s">
        <v>48</v>
      </c>
      <c r="C11" s="174">
        <f>'Results&amp;Guidance'!D8</f>
        <v>13801583.218499999</v>
      </c>
      <c r="D11" s="168"/>
      <c r="E11" s="106"/>
      <c r="F11" s="105"/>
    </row>
    <row r="12" spans="1:8" x14ac:dyDescent="0.25">
      <c r="A12" s="121" t="s">
        <v>101</v>
      </c>
      <c r="B12" s="121" t="s">
        <v>49</v>
      </c>
      <c r="C12" s="174">
        <f>'Results&amp;Guidance'!D9</f>
        <v>42</v>
      </c>
      <c r="D12" s="168"/>
      <c r="E12" s="106"/>
      <c r="F12" s="105"/>
    </row>
    <row r="13" spans="1:8" x14ac:dyDescent="0.25">
      <c r="A13" s="121" t="s">
        <v>78</v>
      </c>
      <c r="B13" s="121" t="s">
        <v>50</v>
      </c>
      <c r="C13" s="175">
        <f>'Results&amp;Guidance'!D10</f>
        <v>2.1271207900734362E-2</v>
      </c>
      <c r="D13" s="168"/>
      <c r="E13" s="106"/>
      <c r="F13" s="105"/>
    </row>
    <row r="14" spans="1:8" x14ac:dyDescent="0.25">
      <c r="A14" s="121" t="s">
        <v>59</v>
      </c>
      <c r="B14" s="121" t="s">
        <v>68</v>
      </c>
      <c r="C14" s="174">
        <f>'Results&amp;Guidance'!D11</f>
        <v>128.79745427446665</v>
      </c>
      <c r="D14" s="168"/>
      <c r="E14" s="106"/>
      <c r="F14" s="105"/>
    </row>
    <row r="15" spans="1:8" x14ac:dyDescent="0.25">
      <c r="A15" s="121" t="s">
        <v>52</v>
      </c>
      <c r="B15" s="121" t="s">
        <v>68</v>
      </c>
      <c r="C15" s="174">
        <f>'Results&amp;Guidance'!D12</f>
        <v>942.7822635274573</v>
      </c>
      <c r="D15" s="168"/>
      <c r="E15" s="106"/>
      <c r="F15" s="105"/>
    </row>
    <row r="16" spans="1:8" x14ac:dyDescent="0.25">
      <c r="A16" s="121" t="s">
        <v>64</v>
      </c>
      <c r="B16" s="121" t="s">
        <v>66</v>
      </c>
      <c r="C16" s="176">
        <f>'Results&amp;Guidance'!D13</f>
        <v>15.33027194615471</v>
      </c>
      <c r="D16" s="168"/>
      <c r="E16" s="106"/>
      <c r="F16" s="105"/>
    </row>
    <row r="17" spans="1:8" x14ac:dyDescent="0.25">
      <c r="A17" s="121" t="s">
        <v>81</v>
      </c>
      <c r="B17" s="121" t="s">
        <v>66</v>
      </c>
      <c r="C17" s="176">
        <f>'Results&amp;Guidance'!D14</f>
        <v>2.0943329932961721</v>
      </c>
      <c r="D17" s="168"/>
      <c r="E17" s="106"/>
      <c r="F17" s="105"/>
    </row>
    <row r="18" spans="1:8" x14ac:dyDescent="0.25">
      <c r="A18" s="78" t="s">
        <v>51</v>
      </c>
      <c r="B18" s="78" t="s">
        <v>48</v>
      </c>
      <c r="C18" s="177">
        <f>'Results&amp;Guidance'!$F$31</f>
        <v>6589966</v>
      </c>
      <c r="D18" s="168"/>
      <c r="E18" s="78"/>
      <c r="F18" s="78"/>
    </row>
    <row r="19" spans="1:8" x14ac:dyDescent="0.25">
      <c r="A19" s="78"/>
      <c r="B19" s="78"/>
      <c r="C19" s="78"/>
      <c r="D19" s="168"/>
      <c r="E19" s="78"/>
      <c r="F19" s="78"/>
    </row>
    <row r="20" spans="1:8" x14ac:dyDescent="0.25">
      <c r="A20" s="170" t="s">
        <v>103</v>
      </c>
      <c r="B20" s="171"/>
      <c r="C20" s="172"/>
      <c r="D20" s="168"/>
      <c r="E20" s="103"/>
      <c r="F20" s="104"/>
    </row>
    <row r="21" spans="1:8" x14ac:dyDescent="0.25">
      <c r="A21" s="179" t="s">
        <v>99</v>
      </c>
      <c r="B21" s="180" t="s">
        <v>48</v>
      </c>
      <c r="C21" s="184">
        <v>950000</v>
      </c>
      <c r="D21" s="168"/>
      <c r="E21" s="103"/>
      <c r="F21" s="105"/>
    </row>
    <row r="22" spans="1:8" x14ac:dyDescent="0.25">
      <c r="A22" s="121" t="s">
        <v>100</v>
      </c>
      <c r="B22" s="121" t="s">
        <v>57</v>
      </c>
      <c r="C22" s="184"/>
      <c r="D22" s="168"/>
      <c r="E22" s="103"/>
      <c r="F22" s="105"/>
    </row>
    <row r="23" spans="1:8" x14ac:dyDescent="0.25">
      <c r="A23" s="173" t="s">
        <v>101</v>
      </c>
      <c r="B23" s="173" t="s">
        <v>75</v>
      </c>
      <c r="C23" s="185">
        <v>44</v>
      </c>
      <c r="D23" s="168"/>
      <c r="E23" s="103"/>
      <c r="F23" s="105"/>
    </row>
    <row r="24" spans="1:8" x14ac:dyDescent="0.25">
      <c r="A24" s="173" t="s">
        <v>134</v>
      </c>
      <c r="B24" s="121" t="s">
        <v>75</v>
      </c>
      <c r="C24" s="182">
        <f>C21*10^3/C10</f>
        <v>135.91013221480725</v>
      </c>
      <c r="D24" s="168"/>
      <c r="E24" s="103"/>
      <c r="F24" s="105"/>
    </row>
    <row r="25" spans="1:8" x14ac:dyDescent="0.25">
      <c r="A25" s="173" t="s">
        <v>135</v>
      </c>
      <c r="B25" s="121" t="s">
        <v>67</v>
      </c>
      <c r="C25" s="183">
        <f>C28/C24</f>
        <v>14.090193047368421</v>
      </c>
      <c r="D25" s="167" t="s">
        <v>137</v>
      </c>
      <c r="E25" s="103"/>
      <c r="F25" s="105"/>
    </row>
    <row r="26" spans="1:8" x14ac:dyDescent="0.25">
      <c r="D26" s="168"/>
    </row>
    <row r="27" spans="1:8" x14ac:dyDescent="0.25">
      <c r="A27" s="77" t="s">
        <v>102</v>
      </c>
      <c r="B27" s="78"/>
      <c r="C27" s="107"/>
      <c r="D27" s="168"/>
      <c r="E27" s="78"/>
      <c r="F27" s="78"/>
      <c r="G27" s="78"/>
      <c r="H27" s="78"/>
    </row>
    <row r="28" spans="1:8" x14ac:dyDescent="0.25">
      <c r="A28" s="179" t="s">
        <v>152</v>
      </c>
      <c r="B28" s="194" t="s">
        <v>75</v>
      </c>
      <c r="C28" s="196">
        <v>1915</v>
      </c>
      <c r="D28" s="167" t="s">
        <v>136</v>
      </c>
      <c r="E28" s="103"/>
      <c r="F28" s="105"/>
      <c r="G28" s="78"/>
      <c r="H28" s="78"/>
    </row>
    <row r="29" spans="1:8" x14ac:dyDescent="0.25">
      <c r="A29" s="121" t="s">
        <v>104</v>
      </c>
      <c r="B29" s="121" t="s">
        <v>67</v>
      </c>
      <c r="C29" s="198">
        <v>14</v>
      </c>
      <c r="D29" s="168"/>
      <c r="E29" s="103"/>
      <c r="F29" s="105"/>
      <c r="G29" s="78"/>
      <c r="H29" s="78"/>
    </row>
    <row r="30" spans="1:8" x14ac:dyDescent="0.25">
      <c r="A30" s="121" t="s">
        <v>105</v>
      </c>
      <c r="B30" s="121" t="s">
        <v>67</v>
      </c>
      <c r="C30" s="197">
        <v>20</v>
      </c>
      <c r="D30" s="168"/>
      <c r="E30" s="103"/>
      <c r="F30" s="105"/>
      <c r="G30" s="78"/>
      <c r="H30" s="78"/>
    </row>
    <row r="31" spans="1:8" x14ac:dyDescent="0.25">
      <c r="A31" s="121" t="s">
        <v>106</v>
      </c>
      <c r="B31" s="121" t="s">
        <v>67</v>
      </c>
      <c r="C31" s="183">
        <f>AVERAGE(C29:C30)</f>
        <v>17</v>
      </c>
      <c r="D31" s="168"/>
      <c r="E31" s="103"/>
      <c r="F31" s="105"/>
      <c r="G31" s="78"/>
      <c r="H31" s="78"/>
    </row>
    <row r="32" spans="1:8" x14ac:dyDescent="0.25">
      <c r="A32" s="92"/>
      <c r="B32" s="92"/>
      <c r="C32" s="100"/>
      <c r="D32" s="168"/>
      <c r="E32" s="103"/>
      <c r="F32" s="105"/>
      <c r="G32" s="78"/>
      <c r="H32" s="78"/>
    </row>
    <row r="33" spans="1:8" x14ac:dyDescent="0.25">
      <c r="A33" s="121" t="s">
        <v>147</v>
      </c>
      <c r="B33" s="121" t="s">
        <v>67</v>
      </c>
      <c r="C33" s="198">
        <v>2</v>
      </c>
      <c r="D33" s="168"/>
      <c r="E33" s="103"/>
      <c r="F33" s="105"/>
      <c r="G33" s="78"/>
      <c r="H33" s="78"/>
    </row>
    <row r="34" spans="1:8" x14ac:dyDescent="0.25">
      <c r="A34" s="121" t="s">
        <v>149</v>
      </c>
      <c r="B34" s="121" t="s">
        <v>67</v>
      </c>
      <c r="C34" s="197">
        <v>2.25</v>
      </c>
      <c r="D34" s="168"/>
      <c r="E34" s="103"/>
      <c r="F34" s="105"/>
      <c r="G34" s="78"/>
      <c r="H34" s="78"/>
    </row>
    <row r="35" spans="1:8" x14ac:dyDescent="0.25">
      <c r="A35" s="121" t="s">
        <v>148</v>
      </c>
      <c r="B35" s="121" t="s">
        <v>67</v>
      </c>
      <c r="C35" s="181">
        <f>AVERAGE(C33:C34)</f>
        <v>2.125</v>
      </c>
      <c r="D35" s="168"/>
      <c r="E35" s="103"/>
      <c r="F35" s="105"/>
      <c r="G35" s="78"/>
      <c r="H35" s="78"/>
    </row>
    <row r="36" spans="1:8" x14ac:dyDescent="0.25">
      <c r="A36" s="92"/>
      <c r="B36" s="92"/>
      <c r="C36" s="100"/>
      <c r="D36" s="168"/>
      <c r="E36" s="96"/>
      <c r="F36" s="97"/>
      <c r="G36" s="78"/>
      <c r="H36" s="78"/>
    </row>
    <row r="37" spans="1:8" x14ac:dyDescent="0.25">
      <c r="A37" s="199" t="s">
        <v>138</v>
      </c>
      <c r="B37" s="193"/>
      <c r="C37" s="200"/>
      <c r="D37" s="168"/>
      <c r="E37" s="96"/>
      <c r="F37" s="97"/>
      <c r="G37" s="78"/>
      <c r="H37" s="78"/>
    </row>
    <row r="38" spans="1:8" x14ac:dyDescent="0.25">
      <c r="A38" s="121" t="s">
        <v>125</v>
      </c>
      <c r="B38" s="121" t="s">
        <v>57</v>
      </c>
      <c r="C38" s="195">
        <v>300000</v>
      </c>
      <c r="D38" s="168"/>
      <c r="E38" s="96"/>
      <c r="F38" s="97"/>
      <c r="G38" s="78"/>
      <c r="H38" s="78"/>
    </row>
    <row r="39" spans="1:8" x14ac:dyDescent="0.25">
      <c r="A39" s="121" t="s">
        <v>126</v>
      </c>
      <c r="B39" s="173" t="s">
        <v>75</v>
      </c>
      <c r="C39" s="201">
        <f>C28</f>
        <v>1915</v>
      </c>
      <c r="D39" s="168"/>
      <c r="E39" s="96"/>
      <c r="F39" s="97"/>
      <c r="G39" s="78"/>
      <c r="H39" s="78"/>
    </row>
    <row r="40" spans="1:8" x14ac:dyDescent="0.25">
      <c r="A40" s="121" t="s">
        <v>127</v>
      </c>
      <c r="B40" s="173" t="s">
        <v>86</v>
      </c>
      <c r="C40" s="201">
        <f>C38*10^3/C39</f>
        <v>156657.96344647519</v>
      </c>
      <c r="D40" s="168"/>
      <c r="E40" s="96"/>
      <c r="F40" s="97"/>
      <c r="G40" s="78"/>
      <c r="H40" s="78"/>
    </row>
    <row r="41" spans="1:8" x14ac:dyDescent="0.25">
      <c r="A41" s="121" t="s">
        <v>128</v>
      </c>
      <c r="B41" s="173" t="s">
        <v>85</v>
      </c>
      <c r="C41" s="201">
        <f>C10-C40</f>
        <v>6833255.0365535244</v>
      </c>
      <c r="D41" s="168"/>
      <c r="E41" s="96"/>
      <c r="F41" s="97"/>
      <c r="G41" s="78"/>
      <c r="H41" s="78"/>
    </row>
    <row r="42" spans="1:8" x14ac:dyDescent="0.25">
      <c r="A42" s="1"/>
      <c r="B42" s="79"/>
      <c r="C42" s="79"/>
      <c r="D42" s="2"/>
    </row>
    <row r="43" spans="1:8" x14ac:dyDescent="0.25">
      <c r="A43" s="151" t="s">
        <v>122</v>
      </c>
      <c r="B43" s="202"/>
      <c r="C43" s="202"/>
      <c r="D43" s="203"/>
      <c r="E43" s="150"/>
    </row>
    <row r="44" spans="1:8" x14ac:dyDescent="0.25">
      <c r="A44" s="121" t="s">
        <v>0</v>
      </c>
      <c r="B44" s="121"/>
      <c r="C44" s="205">
        <v>8.5000000000000006E-2</v>
      </c>
      <c r="D44" s="106"/>
    </row>
    <row r="45" spans="1:8" x14ac:dyDescent="0.25">
      <c r="A45" s="121" t="s">
        <v>1</v>
      </c>
      <c r="B45" s="121"/>
      <c r="C45" s="205">
        <v>0.03</v>
      </c>
      <c r="D45" s="106" t="s">
        <v>2</v>
      </c>
    </row>
    <row r="46" spans="1:8" x14ac:dyDescent="0.25">
      <c r="A46" s="121" t="s">
        <v>3</v>
      </c>
      <c r="B46" s="121"/>
      <c r="C46" s="205">
        <v>7.0000000000000007E-2</v>
      </c>
      <c r="D46" s="106"/>
    </row>
    <row r="47" spans="1:8" x14ac:dyDescent="0.25">
      <c r="A47" s="121" t="s">
        <v>4</v>
      </c>
      <c r="B47" s="121"/>
      <c r="C47" s="205">
        <v>7.0000000000000007E-2</v>
      </c>
      <c r="D47" s="106"/>
    </row>
    <row r="48" spans="1:8" x14ac:dyDescent="0.25">
      <c r="A48" s="121" t="s">
        <v>5</v>
      </c>
      <c r="B48" s="121"/>
      <c r="C48" s="204">
        <v>0.03</v>
      </c>
      <c r="D48" s="106" t="s">
        <v>6</v>
      </c>
    </row>
    <row r="49" spans="1:4" x14ac:dyDescent="0.25">
      <c r="A49" s="121"/>
      <c r="B49" s="121"/>
      <c r="C49" s="121"/>
      <c r="D49" s="121"/>
    </row>
  </sheetData>
  <phoneticPr fontId="19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563EB"/>
  </sheetPr>
  <dimension ref="A1:G19"/>
  <sheetViews>
    <sheetView showGridLines="0" topLeftCell="B1" zoomScaleNormal="100" workbookViewId="0">
      <selection activeCell="F9" sqref="F9"/>
    </sheetView>
  </sheetViews>
  <sheetFormatPr defaultColWidth="0" defaultRowHeight="15" x14ac:dyDescent="0.25"/>
  <cols>
    <col min="1" max="1" width="57.28515625" bestFit="1" customWidth="1"/>
    <col min="2" max="6" width="20.7109375" customWidth="1"/>
    <col min="7" max="7" width="0" hidden="1" customWidth="1"/>
    <col min="8" max="16384" width="8.7109375" hidden="1"/>
  </cols>
  <sheetData>
    <row r="1" spans="1:6" ht="21.75" customHeight="1" x14ac:dyDescent="0.25">
      <c r="A1" s="233" t="str">
        <f>Dashboard!$B$4&amp;" "&amp;Dashboard!$B$5</f>
        <v>Itochu Corporation 8001.T</v>
      </c>
      <c r="B1" s="222"/>
      <c r="C1" s="222"/>
      <c r="D1" s="222"/>
      <c r="E1" s="222"/>
      <c r="F1" s="222"/>
    </row>
    <row r="2" spans="1:6" ht="21.75" customHeight="1" x14ac:dyDescent="0.25">
      <c r="A2" s="234" t="s">
        <v>158</v>
      </c>
      <c r="B2" s="223"/>
      <c r="C2" s="223"/>
      <c r="D2" s="223"/>
      <c r="E2" s="223"/>
      <c r="F2" s="223"/>
    </row>
    <row r="3" spans="1:6" ht="21.75" customHeight="1" x14ac:dyDescent="0.25">
      <c r="A3" s="234"/>
      <c r="B3" s="223"/>
      <c r="C3" s="223"/>
      <c r="D3" s="223"/>
      <c r="E3" s="223"/>
      <c r="F3" s="223"/>
    </row>
    <row r="4" spans="1:6" ht="18" customHeight="1" x14ac:dyDescent="0.25">
      <c r="A4" s="126" t="s">
        <v>89</v>
      </c>
      <c r="B4" s="126"/>
      <c r="C4" s="126"/>
      <c r="D4" s="126"/>
      <c r="E4" s="126"/>
      <c r="F4" s="126"/>
    </row>
    <row r="5" spans="1:6" ht="34.5" customHeight="1" x14ac:dyDescent="0.25">
      <c r="A5" s="161" t="s">
        <v>9</v>
      </c>
      <c r="B5" s="161" t="s">
        <v>10</v>
      </c>
      <c r="C5" s="161" t="s">
        <v>11</v>
      </c>
      <c r="D5" s="161" t="s">
        <v>12</v>
      </c>
      <c r="E5" s="161" t="s">
        <v>13</v>
      </c>
      <c r="F5" s="161" t="s">
        <v>107</v>
      </c>
    </row>
    <row r="6" spans="1:6" ht="15" customHeight="1" x14ac:dyDescent="0.25">
      <c r="A6" s="1" t="s">
        <v>90</v>
      </c>
      <c r="B6" s="206">
        <f>'① Assumptions'!C29</f>
        <v>14</v>
      </c>
      <c r="C6" s="207">
        <f>'① Assumptions'!$C$24</f>
        <v>135.91013221480725</v>
      </c>
      <c r="D6" s="208">
        <f>B6*C6</f>
        <v>1902.7418510073014</v>
      </c>
      <c r="E6" s="207">
        <f>D6-'① Assumptions'!$C$28</f>
        <v>-12.25814899269858</v>
      </c>
      <c r="F6" s="209">
        <f>E6/'① Assumptions'!$C$28</f>
        <v>-6.4011221893987358E-3</v>
      </c>
    </row>
    <row r="7" spans="1:6" ht="15" customHeight="1" x14ac:dyDescent="0.25">
      <c r="A7" s="1" t="s">
        <v>92</v>
      </c>
      <c r="B7" s="206">
        <f>'① Assumptions'!C31</f>
        <v>17</v>
      </c>
      <c r="C7" s="207">
        <f>'① Assumptions'!$C$24</f>
        <v>135.91013221480725</v>
      </c>
      <c r="D7" s="208">
        <f>B7*C7</f>
        <v>2310.4722476517231</v>
      </c>
      <c r="E7" s="207">
        <f>D7-'① Assumptions'!$C$28</f>
        <v>395.47224765172314</v>
      </c>
      <c r="F7" s="209">
        <f>E7/'① Assumptions'!$C$28</f>
        <v>0.2065129230557301</v>
      </c>
    </row>
    <row r="8" spans="1:6" ht="15" customHeight="1" x14ac:dyDescent="0.25">
      <c r="A8" s="121" t="s">
        <v>91</v>
      </c>
      <c r="B8" s="210">
        <f>'① Assumptions'!C30</f>
        <v>20</v>
      </c>
      <c r="C8" s="201">
        <f>'① Assumptions'!$C$24</f>
        <v>135.91013221480725</v>
      </c>
      <c r="D8" s="211">
        <f>B8*C8</f>
        <v>2718.2026442961451</v>
      </c>
      <c r="E8" s="201">
        <f>D8-'① Assumptions'!$C$28</f>
        <v>803.20264429614508</v>
      </c>
      <c r="F8" s="212">
        <f>E8/'① Assumptions'!$C$28</f>
        <v>0.41942696830085907</v>
      </c>
    </row>
    <row r="9" spans="1:6" ht="15" customHeight="1" x14ac:dyDescent="0.25">
      <c r="A9" s="37" t="s">
        <v>277</v>
      </c>
      <c r="B9" s="156">
        <f>B7</f>
        <v>17</v>
      </c>
      <c r="C9" s="157">
        <f>'① Assumptions'!C21*10^3/'① Assumptions'!C41</f>
        <v>139.02598321270176</v>
      </c>
      <c r="D9" s="158">
        <f>B9*C9</f>
        <v>2363.4417146159299</v>
      </c>
      <c r="E9" s="157">
        <f>D9-'① Assumptions'!$C$28</f>
        <v>448.44171461592987</v>
      </c>
      <c r="F9" s="159">
        <f>E9/'① Assumptions'!$C$28</f>
        <v>0.23417321912059</v>
      </c>
    </row>
    <row r="11" spans="1:6" ht="18" customHeight="1" x14ac:dyDescent="0.25">
      <c r="A11" s="128" t="s">
        <v>133</v>
      </c>
      <c r="B11" s="128"/>
      <c r="C11" s="128"/>
      <c r="D11" s="128"/>
      <c r="E11" s="128"/>
      <c r="F11" s="128"/>
    </row>
    <row r="12" spans="1:6" ht="34.5" customHeight="1" x14ac:dyDescent="0.25">
      <c r="A12" s="162" t="s">
        <v>9</v>
      </c>
      <c r="B12" s="162" t="s">
        <v>15</v>
      </c>
      <c r="C12" s="162" t="s">
        <v>16</v>
      </c>
      <c r="D12" s="162" t="s">
        <v>12</v>
      </c>
      <c r="E12" s="162" t="s">
        <v>13</v>
      </c>
      <c r="F12" s="162" t="s">
        <v>14</v>
      </c>
    </row>
    <row r="13" spans="1:6" ht="15" customHeight="1" x14ac:dyDescent="0.25">
      <c r="A13" s="1" t="s">
        <v>90</v>
      </c>
      <c r="B13" s="206">
        <f>'① Assumptions'!C33</f>
        <v>2</v>
      </c>
      <c r="C13" s="207">
        <f>'① Assumptions'!$C$15</f>
        <v>942.7822635274573</v>
      </c>
      <c r="D13" s="208">
        <f>B13*C13</f>
        <v>1885.5645270549146</v>
      </c>
      <c r="E13" s="207">
        <f>D13-'① Assumptions'!$C$28</f>
        <v>-29.435472945085394</v>
      </c>
      <c r="F13" s="209">
        <f>E13/'① Assumptions'!$C$28</f>
        <v>-1.5371004148869657E-2</v>
      </c>
    </row>
    <row r="14" spans="1:6" ht="15" customHeight="1" x14ac:dyDescent="0.25">
      <c r="A14" s="1" t="s">
        <v>92</v>
      </c>
      <c r="B14" s="206">
        <f>'① Assumptions'!C35</f>
        <v>2.125</v>
      </c>
      <c r="C14" s="207">
        <f>'① Assumptions'!$C$15</f>
        <v>942.7822635274573</v>
      </c>
      <c r="D14" s="208">
        <f>B14*C14</f>
        <v>2003.4123099958467</v>
      </c>
      <c r="E14" s="201">
        <f>D14-'① Assumptions'!$C$28</f>
        <v>88.412309995846726</v>
      </c>
      <c r="F14" s="209">
        <f>E14/'① Assumptions'!$C$28</f>
        <v>4.6168308091825969E-2</v>
      </c>
    </row>
    <row r="15" spans="1:6" ht="15" customHeight="1" x14ac:dyDescent="0.25">
      <c r="A15" s="1" t="s">
        <v>91</v>
      </c>
      <c r="B15" s="206">
        <f>'① Assumptions'!C34</f>
        <v>2.25</v>
      </c>
      <c r="C15" s="207">
        <f>'① Assumptions'!$C$15</f>
        <v>942.7822635274573</v>
      </c>
      <c r="D15" s="208">
        <f>B15*C15</f>
        <v>2121.2600929367791</v>
      </c>
      <c r="E15" s="157">
        <f>D15-'① Assumptions'!$C$28</f>
        <v>206.26009293677907</v>
      </c>
      <c r="F15" s="209">
        <f>E15/'① Assumptions'!$C$28</f>
        <v>0.10770762033252171</v>
      </c>
    </row>
    <row r="17" spans="1:5" x14ac:dyDescent="0.25">
      <c r="A17" s="165"/>
      <c r="B17" s="42"/>
      <c r="C17" s="42"/>
      <c r="D17" s="42"/>
      <c r="E17" s="42"/>
    </row>
    <row r="18" spans="1:5" x14ac:dyDescent="0.25">
      <c r="A18" s="166"/>
      <c r="B18" s="164"/>
      <c r="C18" s="164"/>
      <c r="D18" s="164"/>
      <c r="E18" s="164"/>
    </row>
    <row r="19" spans="1:5" x14ac:dyDescent="0.25">
      <c r="A19" s="78"/>
      <c r="B19" s="42"/>
      <c r="C19" s="42"/>
      <c r="D19" s="42"/>
      <c r="E19" s="42"/>
    </row>
  </sheetData>
  <phoneticPr fontId="19"/>
  <conditionalFormatting sqref="F6:F9">
    <cfRule type="cellIs" dxfId="5" priority="4" operator="greaterThan">
      <formula>0</formula>
    </cfRule>
    <cfRule type="cellIs" dxfId="4" priority="5" operator="lessThan">
      <formula>0</formula>
    </cfRule>
  </conditionalFormatting>
  <conditionalFormatting sqref="F13:F15">
    <cfRule type="cellIs" dxfId="3" priority="1" operator="greaterThan">
      <formula>0</formula>
    </cfRule>
    <cfRule type="cellIs" dxfId="2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6A34A"/>
  </sheetPr>
  <dimension ref="A1:Q45"/>
  <sheetViews>
    <sheetView showGridLines="0" zoomScaleNormal="100" workbookViewId="0">
      <selection activeCell="F20" sqref="F20"/>
    </sheetView>
  </sheetViews>
  <sheetFormatPr defaultColWidth="0" defaultRowHeight="15" x14ac:dyDescent="0.25"/>
  <cols>
    <col min="1" max="1" width="5.42578125" customWidth="1"/>
    <col min="2" max="2" width="49.140625" customWidth="1"/>
    <col min="3" max="16" width="15.7109375" customWidth="1"/>
    <col min="17" max="17" width="0" hidden="1" customWidth="1"/>
    <col min="18" max="16384" width="8.7109375" hidden="1"/>
  </cols>
  <sheetData>
    <row r="1" spans="1:16" ht="21.75" customHeight="1" x14ac:dyDescent="0.25">
      <c r="A1" s="233" t="str">
        <f>Dashboard!$B$4&amp;" "&amp;Dashboard!$B$5</f>
        <v>Itochu Corporation 8001.T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21.75" customHeight="1" x14ac:dyDescent="0.25">
      <c r="A2" s="234" t="s">
        <v>159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16" ht="21.75" customHeight="1" x14ac:dyDescent="0.25">
      <c r="A3" s="234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</row>
    <row r="4" spans="1:16" x14ac:dyDescent="0.25">
      <c r="A4" s="128" t="s">
        <v>123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</row>
    <row r="5" spans="1:16" x14ac:dyDescent="0.25">
      <c r="A5" s="30"/>
      <c r="B5" s="120"/>
      <c r="C5" s="12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x14ac:dyDescent="0.25">
      <c r="A6" s="30"/>
      <c r="B6" s="163"/>
      <c r="C6" s="91" t="s">
        <v>131</v>
      </c>
      <c r="D6" s="91" t="s">
        <v>132</v>
      </c>
    </row>
    <row r="7" spans="1:16" x14ac:dyDescent="0.25">
      <c r="A7" s="30"/>
      <c r="B7" s="3" t="s">
        <v>17</v>
      </c>
      <c r="C7" s="101">
        <f>D27</f>
        <v>935.05505172421431</v>
      </c>
      <c r="D7" s="101">
        <f>D42</f>
        <v>956.49195395160973</v>
      </c>
    </row>
    <row r="8" spans="1:16" x14ac:dyDescent="0.25">
      <c r="A8" s="30"/>
      <c r="B8" s="4" t="s">
        <v>18</v>
      </c>
      <c r="C8" s="102">
        <f>D28</f>
        <v>1431.8878996928304</v>
      </c>
      <c r="D8" s="102">
        <f>D43</f>
        <v>1508.204093341828</v>
      </c>
    </row>
    <row r="9" spans="1:16" x14ac:dyDescent="0.25">
      <c r="A9" s="30"/>
      <c r="B9" s="118" t="s">
        <v>20</v>
      </c>
      <c r="C9" s="119">
        <f>SUM(C7:C8)</f>
        <v>2366.9429514170447</v>
      </c>
      <c r="D9" s="119">
        <f>SUM(D7:D8)</f>
        <v>2464.6960472934379</v>
      </c>
    </row>
    <row r="10" spans="1:16" x14ac:dyDescent="0.25">
      <c r="A10" s="30"/>
      <c r="B10" s="1" t="s">
        <v>19</v>
      </c>
      <c r="C10" s="9">
        <f>C8/C9</f>
        <v>0.60495243403969068</v>
      </c>
      <c r="D10" s="9">
        <f>D8/D9</f>
        <v>0.61192295699018762</v>
      </c>
      <c r="E10" s="78" t="s">
        <v>151</v>
      </c>
    </row>
    <row r="11" spans="1:16" x14ac:dyDescent="0.25">
      <c r="A11" s="30"/>
      <c r="B11" s="3" t="s">
        <v>21</v>
      </c>
      <c r="C11" s="101">
        <f>'① Assumptions'!$C$28</f>
        <v>1915</v>
      </c>
      <c r="D11" s="101">
        <f>'① Assumptions'!$C$28</f>
        <v>1915</v>
      </c>
    </row>
    <row r="12" spans="1:16" x14ac:dyDescent="0.25">
      <c r="A12" s="30"/>
      <c r="B12" s="4" t="s">
        <v>22</v>
      </c>
      <c r="C12" s="102">
        <f>C9-C11</f>
        <v>451.9429514170447</v>
      </c>
      <c r="D12" s="102">
        <f>D9-D11</f>
        <v>549.69604729343791</v>
      </c>
    </row>
    <row r="13" spans="1:16" x14ac:dyDescent="0.25">
      <c r="A13" s="30"/>
      <c r="B13" s="3" t="s">
        <v>23</v>
      </c>
      <c r="C13" s="5">
        <f>(C9-C11)/C11</f>
        <v>0.23600154120994501</v>
      </c>
      <c r="D13" s="5">
        <f>(D9-D11)/D11</f>
        <v>0.28704754427855766</v>
      </c>
    </row>
    <row r="14" spans="1:16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</row>
    <row r="15" spans="1:16" x14ac:dyDescent="0.25">
      <c r="A15" s="126" t="s">
        <v>124</v>
      </c>
      <c r="B15" s="124"/>
      <c r="C15" s="123"/>
      <c r="D15" s="123"/>
      <c r="E15" s="129"/>
      <c r="F15" s="123"/>
      <c r="G15" s="125"/>
      <c r="H15" s="125"/>
      <c r="I15" s="125"/>
      <c r="J15" s="125"/>
      <c r="K15" s="125"/>
      <c r="L15" s="125"/>
      <c r="M15" s="125"/>
      <c r="N15" s="125"/>
      <c r="O15" s="125"/>
      <c r="P15" s="125"/>
    </row>
    <row r="16" spans="1:16" x14ac:dyDescent="0.25">
      <c r="A16" s="30"/>
      <c r="C16" s="30"/>
      <c r="D16" s="30"/>
      <c r="E16" s="30"/>
      <c r="F16" s="30"/>
      <c r="G16" s="78"/>
      <c r="H16" s="78"/>
      <c r="I16" s="78"/>
      <c r="J16" s="78"/>
      <c r="K16" s="78"/>
      <c r="L16" s="78"/>
      <c r="M16" s="78"/>
      <c r="N16" s="78"/>
      <c r="O16" s="78"/>
      <c r="P16" s="78"/>
    </row>
    <row r="17" spans="1:16" x14ac:dyDescent="0.25">
      <c r="A17" s="30">
        <v>1</v>
      </c>
      <c r="B17" s="160" t="s">
        <v>129</v>
      </c>
      <c r="C17" s="30"/>
      <c r="D17" s="30"/>
      <c r="E17" s="30"/>
      <c r="F17" s="30"/>
      <c r="G17" s="78"/>
      <c r="H17" s="78"/>
      <c r="I17" s="78"/>
      <c r="J17" s="78"/>
      <c r="K17" s="78"/>
      <c r="L17" s="78"/>
      <c r="M17" s="78"/>
      <c r="N17" s="78"/>
      <c r="O17" s="78"/>
      <c r="P17" s="78"/>
    </row>
    <row r="18" spans="1:16" x14ac:dyDescent="0.25">
      <c r="A18" s="78"/>
      <c r="B18" s="130"/>
      <c r="C18" s="109"/>
      <c r="D18" s="109"/>
      <c r="E18" s="111" t="s">
        <v>61</v>
      </c>
      <c r="F18" s="109">
        <v>1</v>
      </c>
      <c r="G18" s="109">
        <f t="shared" ref="G18:O18" si="0">F18+1</f>
        <v>2</v>
      </c>
      <c r="H18" s="109">
        <f t="shared" si="0"/>
        <v>3</v>
      </c>
      <c r="I18" s="109">
        <f t="shared" si="0"/>
        <v>4</v>
      </c>
      <c r="J18" s="109">
        <f t="shared" si="0"/>
        <v>5</v>
      </c>
      <c r="K18" s="109">
        <f t="shared" si="0"/>
        <v>6</v>
      </c>
      <c r="L18" s="109">
        <f t="shared" si="0"/>
        <v>7</v>
      </c>
      <c r="M18" s="109">
        <f t="shared" si="0"/>
        <v>8</v>
      </c>
      <c r="N18" s="109">
        <f t="shared" si="0"/>
        <v>9</v>
      </c>
      <c r="O18" s="131">
        <f t="shared" si="0"/>
        <v>10</v>
      </c>
      <c r="P18" s="78"/>
    </row>
    <row r="19" spans="1:16" x14ac:dyDescent="0.25">
      <c r="A19" s="78"/>
      <c r="B19" s="132"/>
      <c r="C19" s="107"/>
      <c r="D19" s="107" t="s">
        <v>121</v>
      </c>
      <c r="E19" s="112">
        <v>2025</v>
      </c>
      <c r="F19" s="108">
        <f>E19+1</f>
        <v>2026</v>
      </c>
      <c r="G19" s="108">
        <f t="shared" ref="G19:O19" si="1">F19+1</f>
        <v>2027</v>
      </c>
      <c r="H19" s="108">
        <f t="shared" si="1"/>
        <v>2028</v>
      </c>
      <c r="I19" s="108">
        <f t="shared" si="1"/>
        <v>2029</v>
      </c>
      <c r="J19" s="108">
        <f t="shared" si="1"/>
        <v>2030</v>
      </c>
      <c r="K19" s="108">
        <f t="shared" si="1"/>
        <v>2031</v>
      </c>
      <c r="L19" s="108">
        <f t="shared" si="1"/>
        <v>2032</v>
      </c>
      <c r="M19" s="108">
        <f t="shared" si="1"/>
        <v>2033</v>
      </c>
      <c r="N19" s="108">
        <f t="shared" si="1"/>
        <v>2034</v>
      </c>
      <c r="O19" s="133">
        <f t="shared" si="1"/>
        <v>2035</v>
      </c>
      <c r="P19" s="78"/>
    </row>
    <row r="20" spans="1:16" x14ac:dyDescent="0.25">
      <c r="A20" s="78"/>
      <c r="B20" s="134" t="s">
        <v>109</v>
      </c>
      <c r="C20" s="135" t="s">
        <v>80</v>
      </c>
      <c r="D20" s="135"/>
      <c r="E20" s="113"/>
      <c r="F20" s="136">
        <f>IF(F$18&gt;=6,'① Assumptions'!$C$48,IF(F$18&gt;=2,'① Assumptions'!$C$47,'① Assumptions'!$C$46))</f>
        <v>7.0000000000000007E-2</v>
      </c>
      <c r="G20" s="136">
        <f>IF(G$18&gt;=6,'① Assumptions'!$C$48,IF(G$18&gt;=2,'① Assumptions'!$C$47,'① Assumptions'!$C$46))</f>
        <v>7.0000000000000007E-2</v>
      </c>
      <c r="H20" s="136">
        <f>IF(H$18&gt;=6,'① Assumptions'!$C$48,IF(H$18&gt;=2,'① Assumptions'!$C$47,'① Assumptions'!$C$46))</f>
        <v>7.0000000000000007E-2</v>
      </c>
      <c r="I20" s="136">
        <f>IF(I$18&gt;=6,'① Assumptions'!$C$48,IF(I$18&gt;=2,'① Assumptions'!$C$47,'① Assumptions'!$C$46))</f>
        <v>7.0000000000000007E-2</v>
      </c>
      <c r="J20" s="136">
        <f>IF(J$18&gt;=6,'① Assumptions'!$C$48,IF(J$18&gt;=2,'① Assumptions'!$C$47,'① Assumptions'!$C$46))</f>
        <v>7.0000000000000007E-2</v>
      </c>
      <c r="K20" s="136">
        <f>IF(K$18&gt;=6,'① Assumptions'!$C$48,IF(K$18&gt;=2,'① Assumptions'!$C$47,'① Assumptions'!$C$46))</f>
        <v>0.03</v>
      </c>
      <c r="L20" s="136">
        <f>IF(L$18&gt;=6,'① Assumptions'!$C$48,IF(L$18&gt;=2,'① Assumptions'!$C$47,'① Assumptions'!$C$46))</f>
        <v>0.03</v>
      </c>
      <c r="M20" s="136">
        <f>IF(M$18&gt;=6,'① Assumptions'!$C$48,IF(M$18&gt;=2,'① Assumptions'!$C$47,'① Assumptions'!$C$46))</f>
        <v>0.03</v>
      </c>
      <c r="N20" s="136">
        <f>IF(N$18&gt;=6,'① Assumptions'!$C$48,IF(N$18&gt;=2,'① Assumptions'!$C$47,'① Assumptions'!$C$46))</f>
        <v>0.03</v>
      </c>
      <c r="O20" s="137">
        <f>IF(O$18&gt;=6,'① Assumptions'!$C$48,IF(O$18&gt;=2,'① Assumptions'!$C$47,'① Assumptions'!$C$46))</f>
        <v>0.03</v>
      </c>
      <c r="P20" s="78"/>
    </row>
    <row r="21" spans="1:16" x14ac:dyDescent="0.25">
      <c r="A21" s="78"/>
      <c r="B21" s="138" t="s">
        <v>108</v>
      </c>
      <c r="C21" s="92" t="s">
        <v>48</v>
      </c>
      <c r="D21" s="139">
        <f>SUM(F21:O21)</f>
        <v>10270018.93101267</v>
      </c>
      <c r="E21" s="114">
        <f>'Results&amp;Guidance'!$F$26</f>
        <v>742965</v>
      </c>
      <c r="F21" s="140">
        <f t="shared" ref="F21:O21" si="2">E21*(1+F20)</f>
        <v>794972.55</v>
      </c>
      <c r="G21" s="140">
        <f t="shared" si="2"/>
        <v>850620.62850000011</v>
      </c>
      <c r="H21" s="140">
        <f t="shared" si="2"/>
        <v>910164.0724950002</v>
      </c>
      <c r="I21" s="140">
        <f t="shared" si="2"/>
        <v>973875.55756965023</v>
      </c>
      <c r="J21" s="140">
        <f t="shared" si="2"/>
        <v>1042046.8465995258</v>
      </c>
      <c r="K21" s="140">
        <f t="shared" si="2"/>
        <v>1073308.2519975116</v>
      </c>
      <c r="L21" s="140">
        <f t="shared" si="2"/>
        <v>1105507.4995574369</v>
      </c>
      <c r="M21" s="140">
        <f t="shared" si="2"/>
        <v>1138672.7245441601</v>
      </c>
      <c r="N21" s="140">
        <f t="shared" si="2"/>
        <v>1172832.906280485</v>
      </c>
      <c r="O21" s="141">
        <f t="shared" si="2"/>
        <v>1208017.8934688997</v>
      </c>
      <c r="P21" s="78"/>
    </row>
    <row r="22" spans="1:16" x14ac:dyDescent="0.25">
      <c r="A22" s="78"/>
      <c r="B22" s="138" t="s">
        <v>115</v>
      </c>
      <c r="C22" s="92" t="s">
        <v>48</v>
      </c>
      <c r="D22" s="139">
        <f>SUM(F22:O22)</f>
        <v>22622880.550417572</v>
      </c>
      <c r="E22" s="114"/>
      <c r="F22" s="140"/>
      <c r="G22" s="140"/>
      <c r="H22" s="140"/>
      <c r="I22" s="140"/>
      <c r="J22" s="140"/>
      <c r="K22" s="140"/>
      <c r="L22" s="140"/>
      <c r="M22" s="140"/>
      <c r="N22" s="140"/>
      <c r="O22" s="141">
        <f>(O21*(1+'① Assumptions'!$C$45))/('① Assumptions'!C44-'① Assumptions'!C45)</f>
        <v>22622880.550417572</v>
      </c>
      <c r="P22" s="78"/>
    </row>
    <row r="23" spans="1:16" x14ac:dyDescent="0.25">
      <c r="A23" s="78"/>
      <c r="B23" s="134" t="s">
        <v>84</v>
      </c>
      <c r="C23" s="135" t="s">
        <v>110</v>
      </c>
      <c r="D23" s="135"/>
      <c r="E23" s="114">
        <f>'Results&amp;Guidance'!$D$7</f>
        <v>6989913</v>
      </c>
      <c r="F23" s="142">
        <f>'Results&amp;Guidance'!$D$7</f>
        <v>6989913</v>
      </c>
      <c r="G23" s="142">
        <f>'Results&amp;Guidance'!$D$7</f>
        <v>6989913</v>
      </c>
      <c r="H23" s="142">
        <f>'Results&amp;Guidance'!$D$7</f>
        <v>6989913</v>
      </c>
      <c r="I23" s="142">
        <f>'Results&amp;Guidance'!$D$7</f>
        <v>6989913</v>
      </c>
      <c r="J23" s="142">
        <f>'Results&amp;Guidance'!$D$7</f>
        <v>6989913</v>
      </c>
      <c r="K23" s="142">
        <f>'Results&amp;Guidance'!$D$7</f>
        <v>6989913</v>
      </c>
      <c r="L23" s="142">
        <f>'Results&amp;Guidance'!$D$7</f>
        <v>6989913</v>
      </c>
      <c r="M23" s="142">
        <f>'Results&amp;Guidance'!$D$7</f>
        <v>6989913</v>
      </c>
      <c r="N23" s="142">
        <f>'Results&amp;Guidance'!$D$7</f>
        <v>6989913</v>
      </c>
      <c r="O23" s="143">
        <f>'Results&amp;Guidance'!$D$7</f>
        <v>6989913</v>
      </c>
      <c r="P23" s="78"/>
    </row>
    <row r="24" spans="1:16" x14ac:dyDescent="0.25">
      <c r="A24" s="78"/>
      <c r="B24" s="138" t="s">
        <v>111</v>
      </c>
      <c r="C24" s="92" t="s">
        <v>75</v>
      </c>
      <c r="D24" s="92"/>
      <c r="E24" s="114">
        <f>E21*10^3/E23</f>
        <v>106.2910225062887</v>
      </c>
      <c r="F24" s="140">
        <f t="shared" ref="F24:O24" si="3">F21*10^3/F$23</f>
        <v>113.73139408172891</v>
      </c>
      <c r="G24" s="140">
        <f t="shared" si="3"/>
        <v>121.69259166744996</v>
      </c>
      <c r="H24" s="140">
        <f t="shared" si="3"/>
        <v>130.21107308417146</v>
      </c>
      <c r="I24" s="140">
        <f t="shared" si="3"/>
        <v>139.32584820006349</v>
      </c>
      <c r="J24" s="140">
        <f t="shared" si="3"/>
        <v>149.07865757406793</v>
      </c>
      <c r="K24" s="140">
        <f t="shared" si="3"/>
        <v>153.55101730128996</v>
      </c>
      <c r="L24" s="140">
        <f t="shared" si="3"/>
        <v>158.15754782032866</v>
      </c>
      <c r="M24" s="140">
        <f t="shared" si="3"/>
        <v>162.90227425493853</v>
      </c>
      <c r="N24" s="140">
        <f t="shared" si="3"/>
        <v>167.78934248258668</v>
      </c>
      <c r="O24" s="141">
        <f t="shared" si="3"/>
        <v>172.82302275706431</v>
      </c>
      <c r="P24" s="78"/>
    </row>
    <row r="25" spans="1:16" x14ac:dyDescent="0.25">
      <c r="A25" s="78"/>
      <c r="B25" s="138" t="s">
        <v>117</v>
      </c>
      <c r="C25" s="92" t="s">
        <v>75</v>
      </c>
      <c r="D25" s="92"/>
      <c r="E25" s="114"/>
      <c r="F25" s="140">
        <f>F22*(1+2%)*10^3/F$23</f>
        <v>0</v>
      </c>
      <c r="G25" s="140">
        <f t="shared" ref="G25:N25" si="4">G22*(1+2%)*10^3/G$23</f>
        <v>0</v>
      </c>
      <c r="H25" s="140">
        <f t="shared" si="4"/>
        <v>0</v>
      </c>
      <c r="I25" s="140">
        <f t="shared" si="4"/>
        <v>0</v>
      </c>
      <c r="J25" s="140">
        <f t="shared" si="4"/>
        <v>0</v>
      </c>
      <c r="K25" s="140">
        <f t="shared" si="4"/>
        <v>0</v>
      </c>
      <c r="L25" s="140">
        <f t="shared" si="4"/>
        <v>0</v>
      </c>
      <c r="M25" s="140">
        <f t="shared" si="4"/>
        <v>0</v>
      </c>
      <c r="N25" s="140">
        <f t="shared" si="4"/>
        <v>0</v>
      </c>
      <c r="O25" s="141">
        <f>O22*(1+'① Assumptions'!$C$45%)*10^3/O$23</f>
        <v>3237.4748318874204</v>
      </c>
      <c r="P25" s="78"/>
    </row>
    <row r="26" spans="1:16" x14ac:dyDescent="0.25">
      <c r="A26" s="78"/>
      <c r="B26" s="134" t="s">
        <v>112</v>
      </c>
      <c r="C26" s="135" t="s">
        <v>114</v>
      </c>
      <c r="D26" s="135"/>
      <c r="E26" s="115">
        <v>1</v>
      </c>
      <c r="F26" s="144">
        <f>E26/(1+'① Assumptions'!$C$44)</f>
        <v>0.92165898617511521</v>
      </c>
      <c r="G26" s="144">
        <f>F26/(1+'① Assumptions'!$C$44)</f>
        <v>0.84945528679734128</v>
      </c>
      <c r="H26" s="144">
        <f>G26/(1+'① Assumptions'!$C$44)</f>
        <v>0.78290809843072928</v>
      </c>
      <c r="I26" s="144">
        <f>H26/(1+'① Assumptions'!$C$44)</f>
        <v>0.72157428426795323</v>
      </c>
      <c r="J26" s="144">
        <f>I26/(1+'① Assumptions'!$C$44)</f>
        <v>0.66504542328843619</v>
      </c>
      <c r="K26" s="144">
        <f>J26/(1+'① Assumptions'!$C$44)</f>
        <v>0.6129450905884205</v>
      </c>
      <c r="L26" s="144">
        <f>K26/(1+'① Assumptions'!$C$44)</f>
        <v>0.56492635077273778</v>
      </c>
      <c r="M26" s="144">
        <f>L26/(1+'① Assumptions'!$C$44)</f>
        <v>0.52066944771680901</v>
      </c>
      <c r="N26" s="144">
        <f>M26/(1+'① Assumptions'!$C$44)</f>
        <v>0.47987967531503134</v>
      </c>
      <c r="O26" s="145">
        <f>N26/(1+'① Assumptions'!$C$44)</f>
        <v>0.44228541503689528</v>
      </c>
      <c r="P26" s="78"/>
    </row>
    <row r="27" spans="1:16" x14ac:dyDescent="0.25">
      <c r="A27" s="78"/>
      <c r="B27" s="138" t="s">
        <v>118</v>
      </c>
      <c r="C27" s="92" t="s">
        <v>49</v>
      </c>
      <c r="D27" s="139">
        <f>SUM(F27:O27)</f>
        <v>935.05505172421431</v>
      </c>
      <c r="E27" s="113"/>
      <c r="F27" s="140">
        <f t="shared" ref="F27:O27" si="5">F$26*F24</f>
        <v>104.82156136564876</v>
      </c>
      <c r="G27" s="140">
        <f t="shared" si="5"/>
        <v>103.37241535598545</v>
      </c>
      <c r="H27" s="140">
        <f t="shared" si="5"/>
        <v>101.94330362295339</v>
      </c>
      <c r="I27" s="140">
        <f t="shared" si="5"/>
        <v>100.53394919498631</v>
      </c>
      <c r="J27" s="140">
        <f t="shared" si="5"/>
        <v>99.144078929617848</v>
      </c>
      <c r="K27" s="140">
        <f t="shared" si="5"/>
        <v>94.118342209683306</v>
      </c>
      <c r="L27" s="140">
        <f t="shared" si="5"/>
        <v>89.347366337303043</v>
      </c>
      <c r="M27" s="140">
        <f t="shared" si="5"/>
        <v>84.818237168131006</v>
      </c>
      <c r="N27" s="140">
        <f t="shared" si="5"/>
        <v>80.518695191866286</v>
      </c>
      <c r="O27" s="141">
        <f t="shared" si="5"/>
        <v>76.437102348038991</v>
      </c>
      <c r="P27" s="78"/>
    </row>
    <row r="28" spans="1:16" x14ac:dyDescent="0.25">
      <c r="A28" s="78"/>
      <c r="B28" s="138" t="s">
        <v>119</v>
      </c>
      <c r="C28" s="92" t="s">
        <v>49</v>
      </c>
      <c r="D28" s="139">
        <f>SUM(F28:O28)</f>
        <v>1431.8878996928304</v>
      </c>
      <c r="E28" s="113"/>
      <c r="F28" s="140">
        <f t="shared" ref="F28:O28" si="6">F$26*F25</f>
        <v>0</v>
      </c>
      <c r="G28" s="140">
        <f t="shared" si="6"/>
        <v>0</v>
      </c>
      <c r="H28" s="140">
        <f t="shared" si="6"/>
        <v>0</v>
      </c>
      <c r="I28" s="140">
        <f t="shared" si="6"/>
        <v>0</v>
      </c>
      <c r="J28" s="140">
        <f t="shared" si="6"/>
        <v>0</v>
      </c>
      <c r="K28" s="140">
        <f t="shared" si="6"/>
        <v>0</v>
      </c>
      <c r="L28" s="140">
        <f t="shared" si="6"/>
        <v>0</v>
      </c>
      <c r="M28" s="140">
        <f t="shared" si="6"/>
        <v>0</v>
      </c>
      <c r="N28" s="140">
        <f t="shared" si="6"/>
        <v>0</v>
      </c>
      <c r="O28" s="141">
        <f t="shared" si="6"/>
        <v>1431.8878996928304</v>
      </c>
      <c r="P28" s="78"/>
    </row>
    <row r="29" spans="1:16" ht="15.75" thickBot="1" x14ac:dyDescent="0.3">
      <c r="A29" s="78"/>
      <c r="B29" s="146" t="s">
        <v>120</v>
      </c>
      <c r="C29" s="95" t="s">
        <v>49</v>
      </c>
      <c r="D29" s="98"/>
      <c r="E29" s="116"/>
      <c r="F29" s="99">
        <f t="shared" ref="F29:O29" si="7">SUM(F27:F28)</f>
        <v>104.82156136564876</v>
      </c>
      <c r="G29" s="99">
        <f t="shared" si="7"/>
        <v>103.37241535598545</v>
      </c>
      <c r="H29" s="99">
        <f t="shared" si="7"/>
        <v>101.94330362295339</v>
      </c>
      <c r="I29" s="99">
        <f t="shared" si="7"/>
        <v>100.53394919498631</v>
      </c>
      <c r="J29" s="99">
        <f t="shared" si="7"/>
        <v>99.144078929617848</v>
      </c>
      <c r="K29" s="99">
        <f t="shared" si="7"/>
        <v>94.118342209683306</v>
      </c>
      <c r="L29" s="99">
        <f t="shared" si="7"/>
        <v>89.347366337303043</v>
      </c>
      <c r="M29" s="99">
        <f t="shared" si="7"/>
        <v>84.818237168131006</v>
      </c>
      <c r="N29" s="99">
        <f t="shared" si="7"/>
        <v>80.518695191866286</v>
      </c>
      <c r="O29" s="147">
        <f t="shared" si="7"/>
        <v>1508.3250020408693</v>
      </c>
      <c r="P29" s="78"/>
    </row>
    <row r="30" spans="1:16" ht="15.75" thickBot="1" x14ac:dyDescent="0.3">
      <c r="A30" s="78"/>
      <c r="B30" s="148" t="s">
        <v>113</v>
      </c>
      <c r="C30" s="149" t="s">
        <v>49</v>
      </c>
      <c r="D30" s="117">
        <f>D27+D28</f>
        <v>2366.9429514170447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78"/>
    </row>
    <row r="31" spans="1:16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16" x14ac:dyDescent="0.25">
      <c r="A32">
        <v>2</v>
      </c>
      <c r="B32" s="160" t="s">
        <v>130</v>
      </c>
      <c r="C32" s="30"/>
      <c r="D32" s="30"/>
      <c r="E32" s="30"/>
      <c r="F32" s="30"/>
      <c r="G32" s="78"/>
      <c r="H32" s="78"/>
      <c r="I32" s="78"/>
      <c r="J32" s="78"/>
      <c r="K32" s="78"/>
      <c r="L32" s="78"/>
      <c r="M32" s="78"/>
      <c r="N32" s="78"/>
      <c r="O32" s="78"/>
    </row>
    <row r="33" spans="2:15" ht="23.25" customHeight="1" x14ac:dyDescent="0.25">
      <c r="B33" s="130"/>
      <c r="C33" s="109"/>
      <c r="D33" s="109"/>
      <c r="E33" s="111" t="s">
        <v>61</v>
      </c>
      <c r="F33" s="109">
        <v>1</v>
      </c>
      <c r="G33" s="109">
        <f t="shared" ref="G33:O33" si="8">F33+1</f>
        <v>2</v>
      </c>
      <c r="H33" s="109">
        <f t="shared" si="8"/>
        <v>3</v>
      </c>
      <c r="I33" s="109">
        <f t="shared" si="8"/>
        <v>4</v>
      </c>
      <c r="J33" s="109">
        <f t="shared" si="8"/>
        <v>5</v>
      </c>
      <c r="K33" s="109">
        <f t="shared" si="8"/>
        <v>6</v>
      </c>
      <c r="L33" s="109">
        <f t="shared" si="8"/>
        <v>7</v>
      </c>
      <c r="M33" s="109">
        <f t="shared" si="8"/>
        <v>8</v>
      </c>
      <c r="N33" s="109">
        <f t="shared" si="8"/>
        <v>9</v>
      </c>
      <c r="O33" s="131">
        <f t="shared" si="8"/>
        <v>10</v>
      </c>
    </row>
    <row r="34" spans="2:15" ht="20.100000000000001" customHeight="1" x14ac:dyDescent="0.25">
      <c r="B34" s="132"/>
      <c r="C34" s="107"/>
      <c r="D34" s="107" t="s">
        <v>121</v>
      </c>
      <c r="E34" s="112">
        <v>2025</v>
      </c>
      <c r="F34" s="108">
        <f>E34+1</f>
        <v>2026</v>
      </c>
      <c r="G34" s="108">
        <f t="shared" ref="G34:O34" si="9">F34+1</f>
        <v>2027</v>
      </c>
      <c r="H34" s="108">
        <f t="shared" si="9"/>
        <v>2028</v>
      </c>
      <c r="I34" s="108">
        <f t="shared" si="9"/>
        <v>2029</v>
      </c>
      <c r="J34" s="108">
        <f t="shared" si="9"/>
        <v>2030</v>
      </c>
      <c r="K34" s="108">
        <f t="shared" si="9"/>
        <v>2031</v>
      </c>
      <c r="L34" s="108">
        <f t="shared" si="9"/>
        <v>2032</v>
      </c>
      <c r="M34" s="108">
        <f t="shared" si="9"/>
        <v>2033</v>
      </c>
      <c r="N34" s="108">
        <f t="shared" si="9"/>
        <v>2034</v>
      </c>
      <c r="O34" s="133">
        <f t="shared" si="9"/>
        <v>2035</v>
      </c>
    </row>
    <row r="35" spans="2:15" ht="20.100000000000001" customHeight="1" x14ac:dyDescent="0.25">
      <c r="B35" s="134" t="s">
        <v>109</v>
      </c>
      <c r="C35" s="135" t="s">
        <v>80</v>
      </c>
      <c r="D35" s="135"/>
      <c r="E35" s="113"/>
      <c r="F35" s="136">
        <f>IF(F$18&gt;=6,'① Assumptions'!$C$48,IF(F$18&gt;=2,'① Assumptions'!$C$47,'① Assumptions'!$C$46))</f>
        <v>7.0000000000000007E-2</v>
      </c>
      <c r="G35" s="136">
        <f>IF(G$18&gt;=6,'① Assumptions'!$C$48,IF(G$18&gt;=2,'① Assumptions'!$C$47,'① Assumptions'!$C$46))</f>
        <v>7.0000000000000007E-2</v>
      </c>
      <c r="H35" s="136">
        <f>IF(H$18&gt;=6,'① Assumptions'!$C$48,IF(H$18&gt;=2,'① Assumptions'!$C$47,'① Assumptions'!$C$46))</f>
        <v>7.0000000000000007E-2</v>
      </c>
      <c r="I35" s="136">
        <f>IF(I$18&gt;=6,'① Assumptions'!$C$48,IF(I$18&gt;=2,'① Assumptions'!$C$47,'① Assumptions'!$C$46))</f>
        <v>7.0000000000000007E-2</v>
      </c>
      <c r="J35" s="136">
        <f>IF(J$18&gt;=6,'① Assumptions'!$C$48,IF(J$18&gt;=2,'① Assumptions'!$C$47,'① Assumptions'!$C$46))</f>
        <v>7.0000000000000007E-2</v>
      </c>
      <c r="K35" s="136">
        <f>IF(K$18&gt;=6,'① Assumptions'!$C$48,IF(K$18&gt;=2,'① Assumptions'!$C$47,'① Assumptions'!$C$46))</f>
        <v>0.03</v>
      </c>
      <c r="L35" s="136">
        <f>IF(L$18&gt;=6,'① Assumptions'!$C$48,IF(L$18&gt;=2,'① Assumptions'!$C$47,'① Assumptions'!$C$46))</f>
        <v>0.03</v>
      </c>
      <c r="M35" s="136">
        <f>IF(M$18&gt;=6,'① Assumptions'!$C$48,IF(M$18&gt;=2,'① Assumptions'!$C$47,'① Assumptions'!$C$46))</f>
        <v>0.03</v>
      </c>
      <c r="N35" s="136">
        <f>IF(N$18&gt;=6,'① Assumptions'!$C$48,IF(N$18&gt;=2,'① Assumptions'!$C$47,'① Assumptions'!$C$46))</f>
        <v>0.03</v>
      </c>
      <c r="O35" s="137">
        <f>IF(O$18&gt;=6,'① Assumptions'!$C$48,IF(O$18&gt;=2,'① Assumptions'!$C$47,'① Assumptions'!$C$46))</f>
        <v>0.03</v>
      </c>
    </row>
    <row r="36" spans="2:15" ht="20.100000000000001" customHeight="1" x14ac:dyDescent="0.25">
      <c r="B36" s="138" t="s">
        <v>108</v>
      </c>
      <c r="C36" s="92" t="s">
        <v>48</v>
      </c>
      <c r="D36" s="139">
        <f>SUM(F36:O36)</f>
        <v>10270018.93101267</v>
      </c>
      <c r="E36" s="114">
        <f>'Results&amp;Guidance'!$F$26</f>
        <v>742965</v>
      </c>
      <c r="F36" s="140">
        <f t="shared" ref="F36:O36" si="10">E36*(1+F35)</f>
        <v>794972.55</v>
      </c>
      <c r="G36" s="140">
        <f t="shared" si="10"/>
        <v>850620.62850000011</v>
      </c>
      <c r="H36" s="140">
        <f t="shared" si="10"/>
        <v>910164.0724950002</v>
      </c>
      <c r="I36" s="140">
        <f t="shared" si="10"/>
        <v>973875.55756965023</v>
      </c>
      <c r="J36" s="140">
        <f t="shared" si="10"/>
        <v>1042046.8465995258</v>
      </c>
      <c r="K36" s="140">
        <f t="shared" si="10"/>
        <v>1073308.2519975116</v>
      </c>
      <c r="L36" s="140">
        <f t="shared" si="10"/>
        <v>1105507.4995574369</v>
      </c>
      <c r="M36" s="140">
        <f t="shared" si="10"/>
        <v>1138672.7245441601</v>
      </c>
      <c r="N36" s="140">
        <f t="shared" si="10"/>
        <v>1172832.906280485</v>
      </c>
      <c r="O36" s="141">
        <f t="shared" si="10"/>
        <v>1208017.8934688997</v>
      </c>
    </row>
    <row r="37" spans="2:15" ht="20.100000000000001" customHeight="1" x14ac:dyDescent="0.25">
      <c r="B37" s="138" t="s">
        <v>115</v>
      </c>
      <c r="C37" s="92" t="s">
        <v>48</v>
      </c>
      <c r="D37" s="139">
        <f>SUM(F37:O37)</f>
        <v>22622880.550417572</v>
      </c>
      <c r="E37" s="114"/>
      <c r="F37" s="140"/>
      <c r="G37" s="140"/>
      <c r="H37" s="140"/>
      <c r="I37" s="140"/>
      <c r="J37" s="140"/>
      <c r="K37" s="140"/>
      <c r="L37" s="140"/>
      <c r="M37" s="140"/>
      <c r="N37" s="140"/>
      <c r="O37" s="141">
        <f>(O36*(1+'① Assumptions'!$C$45))/('① Assumptions'!C44-'① Assumptions'!C45)</f>
        <v>22622880.550417572</v>
      </c>
    </row>
    <row r="38" spans="2:15" ht="20.100000000000001" customHeight="1" x14ac:dyDescent="0.25">
      <c r="B38" s="134" t="s">
        <v>84</v>
      </c>
      <c r="C38" s="135" t="s">
        <v>110</v>
      </c>
      <c r="D38" s="135"/>
      <c r="E38" s="114">
        <f>'Results&amp;Guidance'!$D$7</f>
        <v>6989913</v>
      </c>
      <c r="F38" s="142">
        <f>'① Assumptions'!$C$41</f>
        <v>6833255.0365535244</v>
      </c>
      <c r="G38" s="142">
        <f>'① Assumptions'!$C$41</f>
        <v>6833255.0365535244</v>
      </c>
      <c r="H38" s="142">
        <f>'① Assumptions'!$C$41</f>
        <v>6833255.0365535244</v>
      </c>
      <c r="I38" s="142">
        <f>'① Assumptions'!$C$41</f>
        <v>6833255.0365535244</v>
      </c>
      <c r="J38" s="142">
        <f>'① Assumptions'!$C$41</f>
        <v>6833255.0365535244</v>
      </c>
      <c r="K38" s="142">
        <f>'① Assumptions'!$C$41</f>
        <v>6833255.0365535244</v>
      </c>
      <c r="L38" s="142">
        <f>'① Assumptions'!$C$41</f>
        <v>6833255.0365535244</v>
      </c>
      <c r="M38" s="142">
        <f>'① Assumptions'!$C$41</f>
        <v>6833255.0365535244</v>
      </c>
      <c r="N38" s="142">
        <f>'① Assumptions'!$C$41</f>
        <v>6833255.0365535244</v>
      </c>
      <c r="O38" s="143">
        <f>'① Assumptions'!$C$41</f>
        <v>6833255.0365535244</v>
      </c>
    </row>
    <row r="39" spans="2:15" ht="20.100000000000001" customHeight="1" x14ac:dyDescent="0.25">
      <c r="B39" s="138" t="s">
        <v>111</v>
      </c>
      <c r="C39" s="92" t="s">
        <v>75</v>
      </c>
      <c r="D39" s="92"/>
      <c r="E39" s="114">
        <f>E36*10^3/E38</f>
        <v>106.2910225062887</v>
      </c>
      <c r="F39" s="140">
        <f>F36*10^3/F$38</f>
        <v>116.33877935879863</v>
      </c>
      <c r="G39" s="140">
        <f t="shared" ref="G39:O39" si="11">G36*10^3/G$38</f>
        <v>124.48249391391457</v>
      </c>
      <c r="H39" s="140">
        <f t="shared" si="11"/>
        <v>133.1962684878886</v>
      </c>
      <c r="I39" s="140">
        <f t="shared" si="11"/>
        <v>142.52000728204081</v>
      </c>
      <c r="J39" s="140">
        <f t="shared" si="11"/>
        <v>152.49640779178367</v>
      </c>
      <c r="K39" s="140">
        <f t="shared" si="11"/>
        <v>157.07130002553717</v>
      </c>
      <c r="L39" s="140">
        <f t="shared" si="11"/>
        <v>161.78343902630328</v>
      </c>
      <c r="M39" s="140">
        <f t="shared" si="11"/>
        <v>166.6369421970924</v>
      </c>
      <c r="N39" s="140">
        <f t="shared" si="11"/>
        <v>171.63605046300518</v>
      </c>
      <c r="O39" s="141">
        <f t="shared" si="11"/>
        <v>176.78513197689537</v>
      </c>
    </row>
    <row r="40" spans="2:15" ht="20.100000000000001" customHeight="1" x14ac:dyDescent="0.25">
      <c r="B40" s="138" t="s">
        <v>117</v>
      </c>
      <c r="C40" s="92" t="s">
        <v>75</v>
      </c>
      <c r="D40" s="92"/>
      <c r="E40" s="114"/>
      <c r="F40" s="140">
        <f t="shared" ref="F40:N40" si="12">F37*10^3/F$38</f>
        <v>0</v>
      </c>
      <c r="G40" s="140">
        <f t="shared" si="12"/>
        <v>0</v>
      </c>
      <c r="H40" s="140">
        <f t="shared" si="12"/>
        <v>0</v>
      </c>
      <c r="I40" s="140">
        <f t="shared" si="12"/>
        <v>0</v>
      </c>
      <c r="J40" s="140">
        <f t="shared" si="12"/>
        <v>0</v>
      </c>
      <c r="K40" s="140">
        <f t="shared" si="12"/>
        <v>0</v>
      </c>
      <c r="L40" s="140">
        <f t="shared" si="12"/>
        <v>0</v>
      </c>
      <c r="M40" s="140">
        <f t="shared" si="12"/>
        <v>0</v>
      </c>
      <c r="N40" s="140">
        <f t="shared" si="12"/>
        <v>0</v>
      </c>
      <c r="O40" s="141">
        <f>O37*(1+'① Assumptions'!$C$45)*10^3/O$38</f>
        <v>3410.0244820779681</v>
      </c>
    </row>
    <row r="41" spans="2:15" x14ac:dyDescent="0.25">
      <c r="B41" s="134" t="s">
        <v>112</v>
      </c>
      <c r="C41" s="135" t="s">
        <v>114</v>
      </c>
      <c r="D41" s="135"/>
      <c r="E41" s="115">
        <v>1</v>
      </c>
      <c r="F41" s="144">
        <f>E41/(1+'① Assumptions'!$C$44)</f>
        <v>0.92165898617511521</v>
      </c>
      <c r="G41" s="144">
        <f>F41/(1+'① Assumptions'!$C$44)</f>
        <v>0.84945528679734128</v>
      </c>
      <c r="H41" s="144">
        <f>G41/(1+'① Assumptions'!$C$44)</f>
        <v>0.78290809843072928</v>
      </c>
      <c r="I41" s="144">
        <f>H41/(1+'① Assumptions'!$C$44)</f>
        <v>0.72157428426795323</v>
      </c>
      <c r="J41" s="144">
        <f>I41/(1+'① Assumptions'!$C$44)</f>
        <v>0.66504542328843619</v>
      </c>
      <c r="K41" s="144">
        <f>J41/(1+'① Assumptions'!$C$44)</f>
        <v>0.6129450905884205</v>
      </c>
      <c r="L41" s="144">
        <f>K41/(1+'① Assumptions'!$C$44)</f>
        <v>0.56492635077273778</v>
      </c>
      <c r="M41" s="144">
        <f>L41/(1+'① Assumptions'!$C$44)</f>
        <v>0.52066944771680901</v>
      </c>
      <c r="N41" s="144">
        <f>M41/(1+'① Assumptions'!$C$44)</f>
        <v>0.47987967531503134</v>
      </c>
      <c r="O41" s="145">
        <f>N41/(1+'① Assumptions'!$C$44)</f>
        <v>0.44228541503689528</v>
      </c>
    </row>
    <row r="42" spans="2:15" x14ac:dyDescent="0.25">
      <c r="B42" s="138" t="s">
        <v>118</v>
      </c>
      <c r="C42" s="92" t="s">
        <v>49</v>
      </c>
      <c r="D42" s="139">
        <f>SUM(F42:O42)</f>
        <v>956.49195395160973</v>
      </c>
      <c r="E42" s="113"/>
      <c r="F42" s="140">
        <f t="shared" ref="F42:O42" si="13">F$41*F39</f>
        <v>107.22468143668077</v>
      </c>
      <c r="G42" s="140">
        <f t="shared" si="13"/>
        <v>105.74231256889259</v>
      </c>
      <c r="H42" s="140">
        <f t="shared" si="13"/>
        <v>104.28043727992174</v>
      </c>
      <c r="I42" s="140">
        <f t="shared" si="13"/>
        <v>102.83877224840208</v>
      </c>
      <c r="J42" s="140">
        <f t="shared" si="13"/>
        <v>101.41703806985275</v>
      </c>
      <c r="K42" s="140">
        <f t="shared" si="13"/>
        <v>96.27608222299385</v>
      </c>
      <c r="L42" s="140">
        <f t="shared" si="13"/>
        <v>91.395727824593251</v>
      </c>
      <c r="M42" s="140">
        <f t="shared" si="13"/>
        <v>86.762764662977929</v>
      </c>
      <c r="N42" s="140">
        <f t="shared" si="13"/>
        <v>82.364652168541255</v>
      </c>
      <c r="O42" s="141">
        <f t="shared" si="13"/>
        <v>78.189485468753475</v>
      </c>
    </row>
    <row r="43" spans="2:15" x14ac:dyDescent="0.25">
      <c r="B43" s="138" t="s">
        <v>119</v>
      </c>
      <c r="C43" s="92" t="s">
        <v>49</v>
      </c>
      <c r="D43" s="139">
        <f>SUM(F43:O43)</f>
        <v>1508.204093341828</v>
      </c>
      <c r="E43" s="113"/>
      <c r="F43" s="140">
        <f t="shared" ref="F43:O43" si="14">F$41*F40</f>
        <v>0</v>
      </c>
      <c r="G43" s="140">
        <f t="shared" si="14"/>
        <v>0</v>
      </c>
      <c r="H43" s="140">
        <f t="shared" si="14"/>
        <v>0</v>
      </c>
      <c r="I43" s="140">
        <f t="shared" si="14"/>
        <v>0</v>
      </c>
      <c r="J43" s="140">
        <f t="shared" si="14"/>
        <v>0</v>
      </c>
      <c r="K43" s="140">
        <f t="shared" si="14"/>
        <v>0</v>
      </c>
      <c r="L43" s="140">
        <f t="shared" si="14"/>
        <v>0</v>
      </c>
      <c r="M43" s="140">
        <f t="shared" si="14"/>
        <v>0</v>
      </c>
      <c r="N43" s="140">
        <f t="shared" si="14"/>
        <v>0</v>
      </c>
      <c r="O43" s="141">
        <f t="shared" si="14"/>
        <v>1508.204093341828</v>
      </c>
    </row>
    <row r="44" spans="2:15" ht="15.75" thickBot="1" x14ac:dyDescent="0.3">
      <c r="B44" s="146" t="s">
        <v>120</v>
      </c>
      <c r="C44" s="95" t="s">
        <v>49</v>
      </c>
      <c r="D44" s="98"/>
      <c r="E44" s="116"/>
      <c r="F44" s="99">
        <f t="shared" ref="F44:O44" si="15">SUM(F42:F43)</f>
        <v>107.22468143668077</v>
      </c>
      <c r="G44" s="99">
        <f t="shared" si="15"/>
        <v>105.74231256889259</v>
      </c>
      <c r="H44" s="99">
        <f t="shared" si="15"/>
        <v>104.28043727992174</v>
      </c>
      <c r="I44" s="99">
        <f t="shared" si="15"/>
        <v>102.83877224840208</v>
      </c>
      <c r="J44" s="99">
        <f t="shared" si="15"/>
        <v>101.41703806985275</v>
      </c>
      <c r="K44" s="99">
        <f t="shared" si="15"/>
        <v>96.27608222299385</v>
      </c>
      <c r="L44" s="99">
        <f t="shared" si="15"/>
        <v>91.395727824593251</v>
      </c>
      <c r="M44" s="99">
        <f t="shared" si="15"/>
        <v>86.762764662977929</v>
      </c>
      <c r="N44" s="99">
        <f t="shared" si="15"/>
        <v>82.364652168541255</v>
      </c>
      <c r="O44" s="147">
        <f t="shared" si="15"/>
        <v>1586.3935788105814</v>
      </c>
    </row>
    <row r="45" spans="2:15" ht="15.75" thickBot="1" x14ac:dyDescent="0.3">
      <c r="B45" s="148" t="s">
        <v>113</v>
      </c>
      <c r="C45" s="149" t="s">
        <v>49</v>
      </c>
      <c r="D45" s="117">
        <f>D42+D43</f>
        <v>2464.6960472934379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</row>
  </sheetData>
  <phoneticPr fontId="19"/>
  <conditionalFormatting sqref="C12:D13">
    <cfRule type="cellIs" dxfId="1" priority="4" operator="greaterThan">
      <formula>0</formula>
    </cfRule>
    <cfRule type="cellIs" dxfId="0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9065-B396-47FF-82AB-A73A53AD202D}">
  <sheetPr>
    <tabColor theme="1"/>
  </sheetPr>
  <dimension ref="A1"/>
  <sheetViews>
    <sheetView showGridLines="0" workbookViewId="0">
      <selection activeCell="N39" sqref="N39"/>
    </sheetView>
  </sheetViews>
  <sheetFormatPr defaultRowHeight="15" x14ac:dyDescent="0.25"/>
  <sheetData/>
  <phoneticPr fontId="19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E361-06AF-49C6-95C5-47331A730857}">
  <dimension ref="A1:D35"/>
  <sheetViews>
    <sheetView workbookViewId="0">
      <selection activeCell="B33" sqref="B33"/>
    </sheetView>
  </sheetViews>
  <sheetFormatPr defaultRowHeight="13.5" x14ac:dyDescent="0.15"/>
  <cols>
    <col min="1" max="1" width="74.28515625" style="228" customWidth="1"/>
    <col min="2" max="4" width="22.85546875" style="228" customWidth="1"/>
    <col min="5" max="16384" width="9.140625" style="228"/>
  </cols>
  <sheetData>
    <row r="1" spans="1:4" x14ac:dyDescent="0.15">
      <c r="A1" s="228" t="s">
        <v>166</v>
      </c>
      <c r="B1" s="228" t="s">
        <v>167</v>
      </c>
      <c r="C1" s="228" t="s">
        <v>168</v>
      </c>
      <c r="D1" s="228" t="s">
        <v>169</v>
      </c>
    </row>
    <row r="2" spans="1:4" x14ac:dyDescent="0.15">
      <c r="A2" s="228" t="s">
        <v>170</v>
      </c>
      <c r="B2" s="241">
        <v>12657964</v>
      </c>
      <c r="C2" s="241">
        <v>13283440</v>
      </c>
      <c r="D2" s="241">
        <v>13332429</v>
      </c>
    </row>
    <row r="3" spans="1:4" x14ac:dyDescent="0.15">
      <c r="A3" s="228" t="s">
        <v>171</v>
      </c>
      <c r="B3" s="241">
        <v>1371946</v>
      </c>
      <c r="C3" s="241">
        <v>1440794</v>
      </c>
      <c r="D3" s="241">
        <v>1490658</v>
      </c>
    </row>
    <row r="4" spans="1:4" x14ac:dyDescent="0.15">
      <c r="A4" s="228" t="s">
        <v>172</v>
      </c>
      <c r="B4" s="241">
        <v>14029910</v>
      </c>
      <c r="C4" s="241">
        <v>14724234</v>
      </c>
      <c r="D4" s="241">
        <v>14823087</v>
      </c>
    </row>
    <row r="5" spans="1:4" x14ac:dyDescent="0.15">
      <c r="A5" s="228" t="s">
        <v>173</v>
      </c>
      <c r="B5" s="241">
        <v>-11078471</v>
      </c>
      <c r="C5" s="241">
        <v>-11601626</v>
      </c>
      <c r="D5" s="241">
        <v>-11588837</v>
      </c>
    </row>
    <row r="6" spans="1:4" x14ac:dyDescent="0.15">
      <c r="A6" s="228" t="s">
        <v>174</v>
      </c>
      <c r="B6" s="241">
        <v>-719079</v>
      </c>
      <c r="C6" s="241">
        <v>-746152</v>
      </c>
      <c r="D6" s="241">
        <v>-753718</v>
      </c>
    </row>
    <row r="7" spans="1:4" x14ac:dyDescent="0.15">
      <c r="A7" s="228" t="s">
        <v>175</v>
      </c>
      <c r="B7" s="241">
        <v>-11797550</v>
      </c>
      <c r="C7" s="241">
        <v>-12347778</v>
      </c>
      <c r="D7" s="241">
        <v>-12342555</v>
      </c>
    </row>
    <row r="8" spans="1:4" x14ac:dyDescent="0.15">
      <c r="A8" s="228" t="s">
        <v>176</v>
      </c>
      <c r="B8" s="241">
        <v>2232360</v>
      </c>
      <c r="C8" s="241">
        <v>2376456</v>
      </c>
      <c r="D8" s="241">
        <v>2480532</v>
      </c>
    </row>
    <row r="9" spans="1:4" x14ac:dyDescent="0.15">
      <c r="A9" s="228" t="s">
        <v>177</v>
      </c>
      <c r="B9" s="241">
        <v>-1521735</v>
      </c>
      <c r="C9" s="241">
        <v>-1678376</v>
      </c>
      <c r="D9" s="241">
        <v>-1763184</v>
      </c>
    </row>
    <row r="10" spans="1:4" x14ac:dyDescent="0.15">
      <c r="A10" s="228" t="s">
        <v>178</v>
      </c>
      <c r="B10" s="241">
        <v>-7725</v>
      </c>
      <c r="C10" s="241">
        <v>-14165</v>
      </c>
      <c r="D10" s="241">
        <v>-15460</v>
      </c>
    </row>
    <row r="11" spans="1:4" x14ac:dyDescent="0.15">
      <c r="A11" s="228" t="s">
        <v>179</v>
      </c>
      <c r="B11" s="241">
        <v>34817</v>
      </c>
      <c r="C11" s="241">
        <v>83198</v>
      </c>
      <c r="D11" s="241">
        <v>175214</v>
      </c>
    </row>
    <row r="12" spans="1:4" x14ac:dyDescent="0.15">
      <c r="A12" s="228" t="s">
        <v>180</v>
      </c>
      <c r="B12" s="241">
        <v>-6059</v>
      </c>
      <c r="C12" s="241">
        <v>-14787</v>
      </c>
      <c r="D12" s="241">
        <v>-12831</v>
      </c>
    </row>
    <row r="13" spans="1:4" x14ac:dyDescent="0.15">
      <c r="A13" s="228" t="s">
        <v>181</v>
      </c>
      <c r="B13" s="241">
        <v>13169</v>
      </c>
      <c r="C13" s="241">
        <v>28533</v>
      </c>
      <c r="D13" s="241">
        <v>8806</v>
      </c>
    </row>
    <row r="14" spans="1:4" x14ac:dyDescent="0.15">
      <c r="A14" s="228" t="s">
        <v>182</v>
      </c>
      <c r="B14" s="241">
        <v>-1487533</v>
      </c>
      <c r="C14" s="241">
        <v>-1595597</v>
      </c>
      <c r="D14" s="241">
        <v>-1607455</v>
      </c>
    </row>
    <row r="15" spans="1:4" x14ac:dyDescent="0.15">
      <c r="A15" s="228" t="s">
        <v>183</v>
      </c>
      <c r="B15" s="241">
        <v>54125</v>
      </c>
      <c r="C15" s="241">
        <v>50920</v>
      </c>
      <c r="D15" s="241">
        <v>48707</v>
      </c>
    </row>
    <row r="16" spans="1:4" x14ac:dyDescent="0.15">
      <c r="A16" s="228" t="s">
        <v>184</v>
      </c>
      <c r="B16" s="241">
        <v>81064</v>
      </c>
      <c r="C16" s="241">
        <v>78417</v>
      </c>
      <c r="D16" s="241">
        <v>59778</v>
      </c>
    </row>
    <row r="17" spans="1:4" x14ac:dyDescent="0.15">
      <c r="A17" s="228" t="s">
        <v>185</v>
      </c>
      <c r="B17" s="241">
        <v>-100641</v>
      </c>
      <c r="C17" s="241">
        <v>-104434</v>
      </c>
      <c r="D17" s="241">
        <v>-105610</v>
      </c>
    </row>
    <row r="18" spans="1:4" x14ac:dyDescent="0.15">
      <c r="A18" s="228" t="s">
        <v>186</v>
      </c>
      <c r="B18" s="241">
        <v>34548</v>
      </c>
      <c r="C18" s="241">
        <v>24903</v>
      </c>
      <c r="D18" s="241">
        <v>2875</v>
      </c>
    </row>
    <row r="19" spans="1:4" x14ac:dyDescent="0.15">
      <c r="A19" s="228" t="s">
        <v>187</v>
      </c>
      <c r="B19" s="241">
        <v>316332</v>
      </c>
      <c r="C19" s="241">
        <v>349297</v>
      </c>
      <c r="D19" s="241">
        <v>323514</v>
      </c>
    </row>
    <row r="20" spans="1:4" x14ac:dyDescent="0.15">
      <c r="A20" s="228" t="s">
        <v>188</v>
      </c>
      <c r="B20" s="241">
        <v>1095707</v>
      </c>
      <c r="C20" s="241">
        <v>1155059</v>
      </c>
      <c r="D20" s="241">
        <v>1199466</v>
      </c>
    </row>
    <row r="21" spans="1:4" x14ac:dyDescent="0.15">
      <c r="A21" s="228" t="s">
        <v>189</v>
      </c>
      <c r="B21" s="241">
        <v>-243784</v>
      </c>
      <c r="C21" s="241">
        <v>-222044</v>
      </c>
      <c r="D21" s="241">
        <v>-262008</v>
      </c>
    </row>
    <row r="22" spans="1:4" x14ac:dyDescent="0.15">
      <c r="A22" s="228" t="s">
        <v>190</v>
      </c>
      <c r="B22" s="241">
        <v>851923</v>
      </c>
      <c r="C22" s="241">
        <v>933015</v>
      </c>
      <c r="D22" s="241">
        <v>937458</v>
      </c>
    </row>
    <row r="23" spans="1:4" x14ac:dyDescent="0.15">
      <c r="A23" s="228" t="s">
        <v>191</v>
      </c>
      <c r="B23" s="241">
        <v>801770</v>
      </c>
      <c r="C23" s="241">
        <v>880251</v>
      </c>
      <c r="D23" s="241">
        <v>900283</v>
      </c>
    </row>
    <row r="24" spans="1:4" x14ac:dyDescent="0.15">
      <c r="A24" s="228" t="s">
        <v>192</v>
      </c>
      <c r="B24" s="241">
        <v>50153</v>
      </c>
      <c r="C24" s="241">
        <v>52764</v>
      </c>
      <c r="D24" s="241">
        <v>37175</v>
      </c>
    </row>
    <row r="25" spans="1:4" x14ac:dyDescent="0.15">
      <c r="A25" s="228" t="s">
        <v>193</v>
      </c>
      <c r="B25" s="241">
        <v>96848</v>
      </c>
      <c r="C25" s="241">
        <v>-45355</v>
      </c>
      <c r="D25" s="241">
        <v>13630</v>
      </c>
    </row>
    <row r="26" spans="1:4" x14ac:dyDescent="0.15">
      <c r="A26" s="228" t="s">
        <v>194</v>
      </c>
      <c r="B26" s="241">
        <v>19321</v>
      </c>
      <c r="C26" s="241">
        <v>-9243</v>
      </c>
      <c r="D26" s="241">
        <v>6303</v>
      </c>
    </row>
    <row r="27" spans="1:4" x14ac:dyDescent="0.15">
      <c r="A27" s="228" t="s">
        <v>195</v>
      </c>
      <c r="B27" s="241">
        <v>-2006</v>
      </c>
      <c r="C27" s="241">
        <v>-172</v>
      </c>
      <c r="D27" s="241">
        <v>-6642</v>
      </c>
    </row>
    <row r="28" spans="1:4" x14ac:dyDescent="0.15">
      <c r="A28" s="228" t="s">
        <v>196</v>
      </c>
      <c r="B28" s="241">
        <v>258515</v>
      </c>
      <c r="C28" s="241">
        <v>-63612</v>
      </c>
      <c r="D28" s="241">
        <v>269075</v>
      </c>
    </row>
    <row r="29" spans="1:4" x14ac:dyDescent="0.15">
      <c r="A29" s="228" t="s">
        <v>197</v>
      </c>
      <c r="B29" s="241">
        <v>14</v>
      </c>
      <c r="C29" s="241">
        <v>-2185</v>
      </c>
      <c r="D29" s="241">
        <v>4853</v>
      </c>
    </row>
    <row r="30" spans="1:4" x14ac:dyDescent="0.15">
      <c r="A30" s="228" t="s">
        <v>198</v>
      </c>
      <c r="B30" s="241">
        <v>49975</v>
      </c>
      <c r="C30" s="241">
        <v>-25102</v>
      </c>
      <c r="D30" s="241">
        <v>138389</v>
      </c>
    </row>
    <row r="31" spans="1:4" x14ac:dyDescent="0.15">
      <c r="A31" s="228" t="s">
        <v>199</v>
      </c>
      <c r="B31" s="241">
        <v>422667</v>
      </c>
      <c r="C31" s="241">
        <v>-145669</v>
      </c>
      <c r="D31" s="241">
        <v>425608</v>
      </c>
    </row>
    <row r="32" spans="1:4" x14ac:dyDescent="0.15">
      <c r="A32" s="228" t="s">
        <v>200</v>
      </c>
      <c r="B32" s="241">
        <v>1274590</v>
      </c>
      <c r="C32" s="241">
        <v>787346</v>
      </c>
      <c r="D32" s="241">
        <v>1363066</v>
      </c>
    </row>
    <row r="33" spans="1:4" x14ac:dyDescent="0.15">
      <c r="A33" s="228" t="s">
        <v>201</v>
      </c>
      <c r="B33" s="241">
        <v>1200025</v>
      </c>
      <c r="C33" s="241">
        <v>739683</v>
      </c>
      <c r="D33" s="241">
        <v>1301927</v>
      </c>
    </row>
    <row r="34" spans="1:4" x14ac:dyDescent="0.15">
      <c r="A34" s="228" t="s">
        <v>202</v>
      </c>
      <c r="B34" s="241">
        <v>74565</v>
      </c>
      <c r="C34" s="241">
        <v>47663</v>
      </c>
      <c r="D34" s="241">
        <v>61139</v>
      </c>
    </row>
    <row r="35" spans="1:4" x14ac:dyDescent="0.15">
      <c r="A35" s="228" t="s">
        <v>203</v>
      </c>
      <c r="B35" s="241">
        <v>702900</v>
      </c>
      <c r="C35" s="241">
        <v>683915</v>
      </c>
      <c r="D35" s="241">
        <v>701888</v>
      </c>
    </row>
  </sheetData>
  <phoneticPr fontId="19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099C-6E52-414D-8EC7-6C2B6275496B}">
  <dimension ref="A1:D50"/>
  <sheetViews>
    <sheetView workbookViewId="0">
      <selection activeCell="C22" sqref="C22"/>
    </sheetView>
  </sheetViews>
  <sheetFormatPr defaultRowHeight="13.5" x14ac:dyDescent="0.15"/>
  <cols>
    <col min="1" max="1" width="74.28515625" style="228" customWidth="1"/>
    <col min="2" max="4" width="22.85546875" style="228" customWidth="1"/>
    <col min="5" max="16384" width="9.140625" style="228"/>
  </cols>
  <sheetData>
    <row r="1" spans="1:4" x14ac:dyDescent="0.15">
      <c r="A1" s="228" t="s">
        <v>166</v>
      </c>
      <c r="B1" s="228" t="s">
        <v>167</v>
      </c>
      <c r="C1" s="228" t="s">
        <v>168</v>
      </c>
      <c r="D1" s="228" t="s">
        <v>169</v>
      </c>
    </row>
    <row r="2" spans="1:4" x14ac:dyDescent="0.15">
      <c r="A2" s="228" t="s">
        <v>204</v>
      </c>
      <c r="B2" s="241">
        <v>600435</v>
      </c>
      <c r="C2" s="241">
        <v>549573</v>
      </c>
      <c r="D2" s="241">
        <v>593766</v>
      </c>
    </row>
    <row r="3" spans="1:4" x14ac:dyDescent="0.15">
      <c r="A3" s="228" t="s">
        <v>205</v>
      </c>
      <c r="B3" s="241">
        <v>15582</v>
      </c>
      <c r="C3" s="241">
        <v>39914</v>
      </c>
      <c r="D3" s="241">
        <v>54671</v>
      </c>
    </row>
    <row r="4" spans="1:4" x14ac:dyDescent="0.15">
      <c r="A4" s="228" t="s">
        <v>206</v>
      </c>
      <c r="B4" s="241">
        <v>2831112</v>
      </c>
      <c r="C4" s="241">
        <v>2835461</v>
      </c>
      <c r="D4" s="241">
        <v>3032965</v>
      </c>
    </row>
    <row r="5" spans="1:4" x14ac:dyDescent="0.15">
      <c r="A5" s="228" t="s">
        <v>207</v>
      </c>
      <c r="B5" s="241">
        <v>274313</v>
      </c>
      <c r="C5" s="241">
        <v>240935</v>
      </c>
      <c r="D5" s="241">
        <v>291933</v>
      </c>
    </row>
    <row r="6" spans="1:4" x14ac:dyDescent="0.15">
      <c r="A6" s="228" t="s">
        <v>208</v>
      </c>
      <c r="B6" s="241">
        <v>73046</v>
      </c>
      <c r="C6" s="241">
        <v>47424</v>
      </c>
      <c r="D6" s="241">
        <v>153024</v>
      </c>
    </row>
    <row r="7" spans="1:4" x14ac:dyDescent="0.15">
      <c r="A7" s="228" t="s">
        <v>209</v>
      </c>
      <c r="B7" s="241">
        <v>1382164</v>
      </c>
      <c r="C7" s="241">
        <v>1482337</v>
      </c>
      <c r="D7" s="241">
        <v>1544795</v>
      </c>
    </row>
    <row r="8" spans="1:4" x14ac:dyDescent="0.15">
      <c r="A8" s="228" t="s">
        <v>210</v>
      </c>
      <c r="B8" s="241">
        <v>159152</v>
      </c>
      <c r="C8" s="241">
        <v>274774</v>
      </c>
      <c r="D8" s="241">
        <v>339084</v>
      </c>
    </row>
    <row r="9" spans="1:4" x14ac:dyDescent="0.15">
      <c r="A9" s="228" t="s">
        <v>211</v>
      </c>
      <c r="B9" s="241">
        <v>287946</v>
      </c>
      <c r="C9" s="241">
        <v>253381</v>
      </c>
      <c r="D9" s="241">
        <v>259847</v>
      </c>
    </row>
    <row r="10" spans="1:4" x14ac:dyDescent="0.15">
      <c r="A10" s="228" t="s">
        <v>212</v>
      </c>
      <c r="B10" s="241">
        <v>5623750</v>
      </c>
      <c r="C10" s="241">
        <v>5723799</v>
      </c>
      <c r="D10" s="241">
        <v>6270085</v>
      </c>
    </row>
    <row r="11" spans="1:4" x14ac:dyDescent="0.15">
      <c r="A11" s="228" t="s">
        <v>213</v>
      </c>
      <c r="B11" s="241">
        <v>3158520</v>
      </c>
      <c r="C11" s="241">
        <v>3560577</v>
      </c>
      <c r="D11" s="241">
        <v>4104790</v>
      </c>
    </row>
    <row r="12" spans="1:4" x14ac:dyDescent="0.15">
      <c r="A12" s="228" t="s">
        <v>214</v>
      </c>
      <c r="B12" s="241">
        <v>1194106</v>
      </c>
      <c r="C12" s="241">
        <v>1156224</v>
      </c>
      <c r="D12" s="241">
        <v>1398083</v>
      </c>
    </row>
    <row r="13" spans="1:4" x14ac:dyDescent="0.15">
      <c r="A13" s="228" t="s">
        <v>215</v>
      </c>
      <c r="B13" s="241">
        <v>899232</v>
      </c>
      <c r="C13" s="241">
        <v>892428</v>
      </c>
      <c r="D13" s="241">
        <v>927347</v>
      </c>
    </row>
    <row r="14" spans="1:4" x14ac:dyDescent="0.15">
      <c r="A14" s="228" t="s">
        <v>216</v>
      </c>
      <c r="B14" s="241">
        <v>156929</v>
      </c>
      <c r="C14" s="241">
        <v>147917</v>
      </c>
      <c r="D14" s="241">
        <v>158754</v>
      </c>
    </row>
    <row r="15" spans="1:4" x14ac:dyDescent="0.15">
      <c r="A15" s="228" t="s">
        <v>217</v>
      </c>
      <c r="B15" s="241">
        <v>2110616</v>
      </c>
      <c r="C15" s="241">
        <v>2231398</v>
      </c>
      <c r="D15" s="241">
        <v>2416885</v>
      </c>
    </row>
    <row r="16" spans="1:4" x14ac:dyDescent="0.15">
      <c r="A16" s="228" t="s">
        <v>218</v>
      </c>
      <c r="B16" s="241">
        <v>42469</v>
      </c>
      <c r="C16" s="241">
        <v>39237</v>
      </c>
      <c r="D16" s="241">
        <v>33356</v>
      </c>
    </row>
    <row r="17" spans="1:4" x14ac:dyDescent="0.15">
      <c r="A17" s="228" t="s">
        <v>219</v>
      </c>
      <c r="B17" s="241">
        <v>1128306</v>
      </c>
      <c r="C17" s="241">
        <v>1209388</v>
      </c>
      <c r="D17" s="241">
        <v>1228428</v>
      </c>
    </row>
    <row r="18" spans="1:4" x14ac:dyDescent="0.15">
      <c r="A18" s="228" t="s">
        <v>220</v>
      </c>
      <c r="B18" s="241">
        <v>68533</v>
      </c>
      <c r="C18" s="241">
        <v>69310</v>
      </c>
      <c r="D18" s="241">
        <v>69820</v>
      </c>
    </row>
    <row r="19" spans="1:4" x14ac:dyDescent="0.15">
      <c r="A19" s="228" t="s">
        <v>221</v>
      </c>
      <c r="B19" s="241">
        <v>107240</v>
      </c>
      <c r="C19" s="241">
        <v>103986</v>
      </c>
      <c r="D19" s="241">
        <v>125267</v>
      </c>
    </row>
    <row r="20" spans="1:4" x14ac:dyDescent="0.15">
      <c r="A20" s="228" t="s">
        <v>222</v>
      </c>
      <c r="B20" s="241">
        <v>8865951</v>
      </c>
      <c r="C20" s="241">
        <v>9410465</v>
      </c>
      <c r="D20" s="241">
        <v>10462730</v>
      </c>
    </row>
    <row r="21" spans="1:4" x14ac:dyDescent="0.15">
      <c r="A21" s="228" t="s">
        <v>223</v>
      </c>
      <c r="B21" s="241">
        <v>14489701</v>
      </c>
      <c r="C21" s="241">
        <v>15134264</v>
      </c>
      <c r="D21" s="241">
        <v>16732815</v>
      </c>
    </row>
    <row r="22" spans="1:4" x14ac:dyDescent="0.15">
      <c r="A22" s="228" t="s">
        <v>224</v>
      </c>
      <c r="B22" s="241">
        <v>727966</v>
      </c>
      <c r="C22" s="241">
        <v>827128</v>
      </c>
      <c r="D22" s="241">
        <v>746882</v>
      </c>
    </row>
    <row r="23" spans="1:4" x14ac:dyDescent="0.15">
      <c r="A23" s="228" t="s">
        <v>225</v>
      </c>
      <c r="B23" s="241">
        <v>224086</v>
      </c>
      <c r="C23" s="241">
        <v>235315</v>
      </c>
      <c r="D23" s="241">
        <v>242355</v>
      </c>
    </row>
    <row r="24" spans="1:4" x14ac:dyDescent="0.15">
      <c r="A24" s="228" t="s">
        <v>226</v>
      </c>
      <c r="B24" s="241">
        <v>2343112</v>
      </c>
      <c r="C24" s="241">
        <v>2262449</v>
      </c>
      <c r="D24" s="241">
        <v>2402189</v>
      </c>
    </row>
    <row r="25" spans="1:4" x14ac:dyDescent="0.15">
      <c r="A25" s="228" t="s">
        <v>227</v>
      </c>
      <c r="B25" s="241">
        <v>216360</v>
      </c>
      <c r="C25" s="241">
        <v>279730</v>
      </c>
      <c r="D25" s="241">
        <v>242628</v>
      </c>
    </row>
    <row r="26" spans="1:4" x14ac:dyDescent="0.15">
      <c r="A26" s="228" t="s">
        <v>228</v>
      </c>
      <c r="B26" s="241">
        <v>65960</v>
      </c>
      <c r="C26" s="241">
        <v>45911</v>
      </c>
      <c r="D26" s="241">
        <v>141930</v>
      </c>
    </row>
    <row r="27" spans="1:4" x14ac:dyDescent="0.15">
      <c r="A27" s="228" t="s">
        <v>229</v>
      </c>
      <c r="B27" s="241">
        <v>86305</v>
      </c>
      <c r="C27" s="241">
        <v>103255</v>
      </c>
      <c r="D27" s="241">
        <v>115610</v>
      </c>
    </row>
    <row r="28" spans="1:4" x14ac:dyDescent="0.15">
      <c r="A28" s="228" t="s">
        <v>230</v>
      </c>
      <c r="B28" s="241">
        <v>168511</v>
      </c>
      <c r="C28" s="241">
        <v>227803</v>
      </c>
      <c r="D28" s="241">
        <v>289891</v>
      </c>
    </row>
    <row r="29" spans="1:4" x14ac:dyDescent="0.15">
      <c r="A29" s="228" t="s">
        <v>231</v>
      </c>
      <c r="B29" s="241">
        <v>510085</v>
      </c>
      <c r="C29" s="241">
        <v>504993</v>
      </c>
      <c r="D29" s="241">
        <v>582609</v>
      </c>
    </row>
    <row r="30" spans="1:4" x14ac:dyDescent="0.15">
      <c r="A30" s="228" t="s">
        <v>232</v>
      </c>
      <c r="B30" s="241">
        <v>4342385</v>
      </c>
      <c r="C30" s="241">
        <v>4486584</v>
      </c>
      <c r="D30" s="241">
        <v>4764094</v>
      </c>
    </row>
    <row r="31" spans="1:4" x14ac:dyDescent="0.15">
      <c r="A31" s="228" t="s">
        <v>233</v>
      </c>
      <c r="B31" s="241">
        <v>2629642</v>
      </c>
      <c r="C31" s="241">
        <v>2723640</v>
      </c>
      <c r="D31" s="241">
        <v>2925827</v>
      </c>
    </row>
    <row r="32" spans="1:4" x14ac:dyDescent="0.15">
      <c r="A32" s="228" t="s">
        <v>234</v>
      </c>
      <c r="B32" s="241">
        <v>814489</v>
      </c>
      <c r="C32" s="241">
        <v>835622</v>
      </c>
      <c r="D32" s="241">
        <v>843005</v>
      </c>
    </row>
    <row r="33" spans="1:4" x14ac:dyDescent="0.15">
      <c r="A33" s="228" t="s">
        <v>235</v>
      </c>
      <c r="B33" s="241">
        <v>55025</v>
      </c>
      <c r="C33" s="241">
        <v>82612</v>
      </c>
      <c r="D33" s="241">
        <v>165140</v>
      </c>
    </row>
    <row r="34" spans="1:4" x14ac:dyDescent="0.15">
      <c r="A34" s="228" t="s">
        <v>236</v>
      </c>
      <c r="B34" s="241">
        <v>93469</v>
      </c>
      <c r="C34" s="241">
        <v>91191</v>
      </c>
      <c r="D34" s="241">
        <v>87785</v>
      </c>
    </row>
    <row r="35" spans="1:4" x14ac:dyDescent="0.15">
      <c r="A35" s="228" t="s">
        <v>237</v>
      </c>
      <c r="B35" s="241">
        <v>380414</v>
      </c>
      <c r="C35" s="241">
        <v>437187</v>
      </c>
      <c r="D35" s="241">
        <v>524616</v>
      </c>
    </row>
    <row r="36" spans="1:4" x14ac:dyDescent="0.15">
      <c r="A36" s="228" t="s">
        <v>238</v>
      </c>
      <c r="B36" s="241">
        <v>182156</v>
      </c>
      <c r="C36" s="241">
        <v>186716</v>
      </c>
      <c r="D36" s="241">
        <v>234089</v>
      </c>
    </row>
    <row r="37" spans="1:4" x14ac:dyDescent="0.15">
      <c r="A37" s="228" t="s">
        <v>239</v>
      </c>
      <c r="B37" s="241">
        <v>4155195</v>
      </c>
      <c r="C37" s="241">
        <v>4356968</v>
      </c>
      <c r="D37" s="241">
        <v>4780462</v>
      </c>
    </row>
    <row r="38" spans="1:4" x14ac:dyDescent="0.15">
      <c r="A38" s="228" t="s">
        <v>240</v>
      </c>
      <c r="B38" s="241">
        <v>8497580</v>
      </c>
      <c r="C38" s="241">
        <v>8843552</v>
      </c>
      <c r="D38" s="241">
        <v>9544556</v>
      </c>
    </row>
    <row r="39" spans="1:4" x14ac:dyDescent="0.15">
      <c r="A39" s="228" t="s">
        <v>241</v>
      </c>
      <c r="B39" s="241">
        <v>253448</v>
      </c>
      <c r="C39" s="241">
        <v>253448</v>
      </c>
      <c r="D39" s="241">
        <v>253448</v>
      </c>
    </row>
    <row r="40" spans="1:4" x14ac:dyDescent="0.15">
      <c r="A40" s="228" t="s">
        <v>242</v>
      </c>
      <c r="B40" s="241">
        <v>-446824</v>
      </c>
      <c r="C40" s="241">
        <v>-443645</v>
      </c>
      <c r="D40" s="241">
        <v>-459335</v>
      </c>
    </row>
    <row r="41" spans="1:4" x14ac:dyDescent="0.15">
      <c r="A41" s="228" t="s">
        <v>243</v>
      </c>
      <c r="B41" s="241">
        <v>5032035</v>
      </c>
      <c r="C41" s="241">
        <v>5658294</v>
      </c>
      <c r="D41" s="241">
        <v>6269767</v>
      </c>
    </row>
    <row r="42" spans="1:4" x14ac:dyDescent="0.15">
      <c r="A42" s="228" t="s">
        <v>196</v>
      </c>
      <c r="B42" s="241">
        <v>744976</v>
      </c>
      <c r="C42" s="241">
        <v>667754</v>
      </c>
      <c r="D42" s="241">
        <v>1047417</v>
      </c>
    </row>
    <row r="43" spans="1:4" x14ac:dyDescent="0.15">
      <c r="A43" s="228" t="s">
        <v>193</v>
      </c>
      <c r="B43" s="241">
        <v>206633</v>
      </c>
      <c r="C43" s="241">
        <v>147195</v>
      </c>
      <c r="D43" s="241">
        <v>160587</v>
      </c>
    </row>
    <row r="44" spans="1:4" x14ac:dyDescent="0.15">
      <c r="A44" s="228" t="s">
        <v>197</v>
      </c>
      <c r="B44" s="241">
        <v>38424</v>
      </c>
      <c r="C44" s="241">
        <v>31566</v>
      </c>
      <c r="D44" s="241">
        <v>46156</v>
      </c>
    </row>
    <row r="45" spans="1:4" x14ac:dyDescent="0.15">
      <c r="A45" s="228" t="s">
        <v>244</v>
      </c>
      <c r="B45" s="241">
        <v>990033</v>
      </c>
      <c r="C45" s="241">
        <v>846515</v>
      </c>
      <c r="D45" s="241">
        <v>1254160</v>
      </c>
    </row>
    <row r="46" spans="1:4" x14ac:dyDescent="0.15">
      <c r="A46" s="228" t="s">
        <v>245</v>
      </c>
      <c r="B46" s="241">
        <v>-401730</v>
      </c>
      <c r="C46" s="241">
        <v>-559540</v>
      </c>
      <c r="D46" s="241">
        <v>-728074</v>
      </c>
    </row>
    <row r="47" spans="1:4" x14ac:dyDescent="0.15">
      <c r="A47" s="228" t="s">
        <v>246</v>
      </c>
      <c r="B47" s="241">
        <v>5426962</v>
      </c>
      <c r="C47" s="241">
        <v>5755072</v>
      </c>
      <c r="D47" s="241">
        <v>6589966</v>
      </c>
    </row>
    <row r="48" spans="1:4" x14ac:dyDescent="0.15">
      <c r="A48" s="228" t="s">
        <v>247</v>
      </c>
      <c r="B48" s="241">
        <v>565159</v>
      </c>
      <c r="C48" s="241">
        <v>535640</v>
      </c>
      <c r="D48" s="241">
        <v>598293</v>
      </c>
    </row>
    <row r="49" spans="1:4" x14ac:dyDescent="0.15">
      <c r="A49" s="228" t="s">
        <v>248</v>
      </c>
      <c r="B49" s="241">
        <v>5992121</v>
      </c>
      <c r="C49" s="241">
        <v>6290712</v>
      </c>
      <c r="D49" s="241">
        <v>7188259</v>
      </c>
    </row>
    <row r="50" spans="1:4" x14ac:dyDescent="0.15">
      <c r="A50" s="228" t="s">
        <v>249</v>
      </c>
      <c r="B50" s="241">
        <v>14489701</v>
      </c>
      <c r="C50" s="241">
        <v>15134264</v>
      </c>
      <c r="D50" s="241">
        <v>16732815</v>
      </c>
    </row>
  </sheetData>
  <phoneticPr fontId="19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E776-1E7E-48C8-B5DD-A5F11ACA4E66}">
  <dimension ref="A1:D31"/>
  <sheetViews>
    <sheetView workbookViewId="0">
      <selection activeCell="A5" sqref="A5"/>
    </sheetView>
  </sheetViews>
  <sheetFormatPr defaultRowHeight="13.5" x14ac:dyDescent="0.15"/>
  <cols>
    <col min="1" max="1" width="74.28515625" style="228" customWidth="1"/>
    <col min="2" max="4" width="22.85546875" style="228" customWidth="1"/>
    <col min="5" max="16384" width="9.140625" style="228"/>
  </cols>
  <sheetData>
    <row r="1" spans="1:4" x14ac:dyDescent="0.15">
      <c r="A1" s="228" t="s">
        <v>166</v>
      </c>
      <c r="B1" s="228" t="s">
        <v>167</v>
      </c>
      <c r="C1" s="228" t="s">
        <v>168</v>
      </c>
      <c r="D1" s="228" t="s">
        <v>169</v>
      </c>
    </row>
    <row r="2" spans="1:4" x14ac:dyDescent="0.15">
      <c r="A2" s="228" t="s">
        <v>190</v>
      </c>
      <c r="B2" s="241">
        <v>851923</v>
      </c>
      <c r="C2" s="241">
        <v>933015</v>
      </c>
      <c r="D2" s="241">
        <v>937458</v>
      </c>
    </row>
    <row r="3" spans="1:4" x14ac:dyDescent="0.15">
      <c r="A3" s="228" t="s">
        <v>250</v>
      </c>
      <c r="B3" s="241">
        <v>420343</v>
      </c>
      <c r="C3" s="241">
        <v>450007</v>
      </c>
      <c r="D3" s="241">
        <v>458696</v>
      </c>
    </row>
    <row r="4" spans="1:4" x14ac:dyDescent="0.15">
      <c r="A4" s="228" t="s">
        <v>251</v>
      </c>
      <c r="B4" s="241">
        <v>-34817</v>
      </c>
      <c r="C4" s="241">
        <v>-83198</v>
      </c>
      <c r="D4" s="241">
        <v>-175214</v>
      </c>
    </row>
    <row r="5" spans="1:4" x14ac:dyDescent="0.15">
      <c r="A5" s="228" t="s">
        <v>252</v>
      </c>
      <c r="B5" s="241">
        <v>6059</v>
      </c>
      <c r="C5" s="241">
        <v>14787</v>
      </c>
      <c r="D5" s="241">
        <v>12831</v>
      </c>
    </row>
    <row r="6" spans="1:4" x14ac:dyDescent="0.15">
      <c r="A6" s="228" t="s">
        <v>253</v>
      </c>
      <c r="B6" s="241">
        <v>-34548</v>
      </c>
      <c r="C6" s="241">
        <v>-24903</v>
      </c>
      <c r="D6" s="241">
        <v>-2875</v>
      </c>
    </row>
    <row r="7" spans="1:4" x14ac:dyDescent="0.15">
      <c r="A7" s="228" t="s">
        <v>187</v>
      </c>
      <c r="B7" s="241">
        <v>-316332</v>
      </c>
      <c r="C7" s="241">
        <v>-349297</v>
      </c>
      <c r="D7" s="241">
        <v>-323514</v>
      </c>
    </row>
    <row r="8" spans="1:4" x14ac:dyDescent="0.15">
      <c r="A8" s="228" t="s">
        <v>189</v>
      </c>
      <c r="B8" s="241">
        <v>243784</v>
      </c>
      <c r="C8" s="241">
        <v>222044</v>
      </c>
      <c r="D8" s="241">
        <v>262008</v>
      </c>
    </row>
    <row r="9" spans="1:4" x14ac:dyDescent="0.15">
      <c r="A9" s="228" t="s">
        <v>254</v>
      </c>
      <c r="B9" s="241">
        <v>10013</v>
      </c>
      <c r="C9" s="241">
        <v>12236</v>
      </c>
      <c r="D9" s="241">
        <v>25306</v>
      </c>
    </row>
    <row r="10" spans="1:4" x14ac:dyDescent="0.15">
      <c r="A10" s="228" t="s">
        <v>255</v>
      </c>
      <c r="B10" s="241">
        <v>-88646</v>
      </c>
      <c r="C10" s="241">
        <v>-173148</v>
      </c>
      <c r="D10" s="241">
        <v>-57507</v>
      </c>
    </row>
    <row r="11" spans="1:4" x14ac:dyDescent="0.15">
      <c r="A11" s="228" t="s">
        <v>256</v>
      </c>
      <c r="B11" s="241">
        <v>61789</v>
      </c>
      <c r="C11" s="241">
        <v>47839</v>
      </c>
      <c r="D11" s="241">
        <v>40850</v>
      </c>
    </row>
    <row r="12" spans="1:4" x14ac:dyDescent="0.15">
      <c r="A12" s="228" t="s">
        <v>257</v>
      </c>
      <c r="B12" s="241">
        <v>218814</v>
      </c>
      <c r="C12" s="241">
        <v>237948</v>
      </c>
      <c r="D12" s="241">
        <v>265552</v>
      </c>
    </row>
    <row r="13" spans="1:4" x14ac:dyDescent="0.15">
      <c r="A13" s="228" t="s">
        <v>258</v>
      </c>
      <c r="B13" s="241">
        <v>-96119</v>
      </c>
      <c r="C13" s="241">
        <v>-102845</v>
      </c>
      <c r="D13" s="241">
        <v>-101803</v>
      </c>
    </row>
    <row r="14" spans="1:4" x14ac:dyDescent="0.15">
      <c r="A14" s="228" t="s">
        <v>259</v>
      </c>
      <c r="B14" s="241">
        <v>-264155</v>
      </c>
      <c r="C14" s="241">
        <v>-187207</v>
      </c>
      <c r="D14" s="241">
        <v>-209951</v>
      </c>
    </row>
    <row r="15" spans="1:4" x14ac:dyDescent="0.15">
      <c r="A15" s="228" t="s">
        <v>260</v>
      </c>
      <c r="B15" s="241">
        <v>978108</v>
      </c>
      <c r="C15" s="241">
        <v>997278</v>
      </c>
      <c r="D15" s="241">
        <v>1131837</v>
      </c>
    </row>
    <row r="16" spans="1:4" x14ac:dyDescent="0.15">
      <c r="A16" s="228" t="s">
        <v>261</v>
      </c>
      <c r="B16" s="241">
        <v>-22926</v>
      </c>
      <c r="C16" s="241">
        <v>-130212</v>
      </c>
      <c r="D16" s="241">
        <v>-102658</v>
      </c>
    </row>
    <row r="17" spans="1:4" x14ac:dyDescent="0.15">
      <c r="A17" s="228" t="s">
        <v>262</v>
      </c>
      <c r="B17" s="241">
        <v>-60569</v>
      </c>
      <c r="C17" s="241">
        <v>-184591</v>
      </c>
      <c r="D17" s="241">
        <v>-38855</v>
      </c>
    </row>
    <row r="18" spans="1:4" x14ac:dyDescent="0.15">
      <c r="A18" s="228" t="s">
        <v>263</v>
      </c>
      <c r="B18" s="241">
        <v>12885</v>
      </c>
      <c r="C18" s="241">
        <v>3004</v>
      </c>
      <c r="D18" s="241">
        <v>24473</v>
      </c>
    </row>
    <row r="19" spans="1:4" x14ac:dyDescent="0.15">
      <c r="A19" s="228" t="s">
        <v>264</v>
      </c>
      <c r="B19" s="241">
        <v>-136384</v>
      </c>
      <c r="C19" s="241">
        <v>-192634</v>
      </c>
      <c r="D19" s="241">
        <v>-260083</v>
      </c>
    </row>
    <row r="20" spans="1:4" x14ac:dyDescent="0.15">
      <c r="A20" s="228" t="s">
        <v>265</v>
      </c>
      <c r="B20" s="241">
        <v>1000</v>
      </c>
      <c r="C20" s="241">
        <v>-11834</v>
      </c>
      <c r="D20" s="241">
        <v>-11749</v>
      </c>
    </row>
    <row r="21" spans="1:4" x14ac:dyDescent="0.15">
      <c r="A21" s="228" t="s">
        <v>266</v>
      </c>
      <c r="B21" s="241">
        <v>-205994</v>
      </c>
      <c r="C21" s="241">
        <v>-516267</v>
      </c>
      <c r="D21" s="241">
        <v>-388872</v>
      </c>
    </row>
    <row r="22" spans="1:4" x14ac:dyDescent="0.15">
      <c r="A22" s="228" t="s">
        <v>267</v>
      </c>
      <c r="B22" s="241">
        <v>186196</v>
      </c>
      <c r="C22" s="241">
        <v>219174</v>
      </c>
      <c r="D22" s="241">
        <v>69164</v>
      </c>
    </row>
    <row r="23" spans="1:4" x14ac:dyDescent="0.15">
      <c r="A23" s="228" t="s">
        <v>268</v>
      </c>
      <c r="B23" s="241">
        <v>-252580</v>
      </c>
      <c r="C23" s="241">
        <v>-260320</v>
      </c>
      <c r="D23" s="241">
        <v>-259227</v>
      </c>
    </row>
    <row r="24" spans="1:4" x14ac:dyDescent="0.15">
      <c r="A24" s="228" t="s">
        <v>269</v>
      </c>
      <c r="B24" s="241">
        <v>-225458</v>
      </c>
      <c r="C24" s="241">
        <v>-258614</v>
      </c>
      <c r="D24" s="241">
        <v>-282692</v>
      </c>
    </row>
    <row r="25" spans="1:4" x14ac:dyDescent="0.15">
      <c r="A25" s="228" t="s">
        <v>270</v>
      </c>
      <c r="B25" s="241">
        <v>-100083</v>
      </c>
      <c r="C25" s="241">
        <v>-153857</v>
      </c>
      <c r="D25" s="241">
        <v>-170278</v>
      </c>
    </row>
    <row r="26" spans="1:4" x14ac:dyDescent="0.15">
      <c r="A26" s="228" t="s">
        <v>271</v>
      </c>
      <c r="B26" s="241">
        <v>-409249</v>
      </c>
      <c r="C26" s="241">
        <v>-71381</v>
      </c>
      <c r="D26" s="241">
        <v>-83444</v>
      </c>
    </row>
    <row r="27" spans="1:4" x14ac:dyDescent="0.15">
      <c r="A27" s="228" t="s">
        <v>272</v>
      </c>
      <c r="B27" s="241">
        <v>-801174</v>
      </c>
      <c r="C27" s="241">
        <v>-524998</v>
      </c>
      <c r="D27" s="241">
        <v>-726477</v>
      </c>
    </row>
    <row r="28" spans="1:4" x14ac:dyDescent="0.15">
      <c r="A28" s="228" t="s">
        <v>273</v>
      </c>
      <c r="B28" s="241">
        <v>-29060</v>
      </c>
      <c r="C28" s="241">
        <v>-43987</v>
      </c>
      <c r="D28" s="241">
        <v>16488</v>
      </c>
    </row>
    <row r="29" spans="1:4" x14ac:dyDescent="0.15">
      <c r="A29" s="228" t="s">
        <v>274</v>
      </c>
      <c r="B29" s="241">
        <v>606002</v>
      </c>
      <c r="C29" s="241">
        <v>600435</v>
      </c>
      <c r="D29" s="241">
        <v>549573</v>
      </c>
    </row>
    <row r="30" spans="1:4" x14ac:dyDescent="0.15">
      <c r="A30" s="228" t="s">
        <v>275</v>
      </c>
      <c r="B30" s="241">
        <v>23493</v>
      </c>
      <c r="C30" s="241">
        <v>-6875</v>
      </c>
      <c r="D30" s="241">
        <v>27705</v>
      </c>
    </row>
    <row r="31" spans="1:4" x14ac:dyDescent="0.15">
      <c r="A31" s="228" t="s">
        <v>276</v>
      </c>
      <c r="B31" s="241">
        <v>600435</v>
      </c>
      <c r="C31" s="241">
        <v>549573</v>
      </c>
      <c r="D31" s="241">
        <v>593766</v>
      </c>
    </row>
  </sheetData>
  <phoneticPr fontId="1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Dashboard</vt:lpstr>
      <vt:lpstr>Results&amp;Guidance</vt:lpstr>
      <vt:lpstr>① Assumptions</vt:lpstr>
      <vt:lpstr>② Multiples</vt:lpstr>
      <vt:lpstr>③ DCF</vt:lpstr>
      <vt:lpstr>&gt;&gt;Extract from Itochu Website</vt:lpstr>
      <vt:lpstr>P&amp;L_Comprehensive</vt:lpstr>
      <vt:lpstr>Balance Sheet</vt:lpstr>
      <vt:lpstr>Cash Flow</vt:lpstr>
      <vt:lpstr>CurrentPrice</vt:lpstr>
      <vt:lpstr>ForwardPER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2026-05-20T08:00:08Z</dcterms:created>
  <dcterms:modified xsi:type="dcterms:W3CDTF">2026-05-28T08:16:17Z</dcterms:modified>
  <dc:language/>
</cp:coreProperties>
</file>