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B74CCEE3-7E51-458F-BB9A-FA2F46963395}" xr6:coauthVersionLast="47" xr6:coauthVersionMax="47" xr10:uidLastSave="{00000000-0000-0000-0000-000000000000}"/>
  <bookViews>
    <workbookView xWindow="-120" yWindow="-120" windowWidth="29040" windowHeight="18720" tabRatio="842" xr2:uid="{00000000-000D-0000-FFFF-FFFF00000000}"/>
  </bookViews>
  <sheets>
    <sheet name="Dashboard" sheetId="5" r:id="rId1"/>
    <sheet name="Results&amp;Guidance" sheetId="7" r:id="rId2"/>
    <sheet name="① Assumptions" sheetId="1" r:id="rId3"/>
    <sheet name="② Multiples" sheetId="2" r:id="rId4"/>
    <sheet name="③ DCF" sheetId="3" r:id="rId5"/>
    <sheet name="&gt;&gt;Extract from Website" sheetId="11" r:id="rId6"/>
    <sheet name="BS" sheetId="19" r:id="rId7"/>
    <sheet name="PL_CI" sheetId="20" r:id="rId8"/>
    <sheet name="CF" sheetId="21" r:id="rId9"/>
    <sheet name="README" sheetId="22" r:id="rId10"/>
  </sheets>
  <definedNames>
    <definedName name="CurrentPrice">'① Assumptions'!$C$28</definedName>
    <definedName name="ForwardPER">'① Assumptions'!$C$25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4" i="3" l="1"/>
  <c r="J24" i="3"/>
  <c r="J27" i="3"/>
  <c r="K21" i="3"/>
  <c r="F20" i="3"/>
  <c r="G20" i="3"/>
  <c r="H20" i="3"/>
  <c r="I20" i="3"/>
  <c r="F35" i="3"/>
  <c r="G35" i="3"/>
  <c r="H35" i="3"/>
  <c r="I35" i="3"/>
  <c r="J20" i="3"/>
  <c r="H36" i="3"/>
  <c r="G36" i="3"/>
  <c r="F36" i="3"/>
  <c r="E36" i="3"/>
  <c r="C24" i="1"/>
  <c r="O38" i="3"/>
  <c r="O23" i="3"/>
  <c r="F23" i="3"/>
  <c r="D8" i="7"/>
  <c r="E30" i="7"/>
  <c r="F30" i="7"/>
  <c r="D30" i="7"/>
  <c r="E29" i="7"/>
  <c r="F29" i="7"/>
  <c r="D29" i="7"/>
  <c r="E28" i="7"/>
  <c r="F28" i="7"/>
  <c r="D28" i="7"/>
  <c r="E27" i="7"/>
  <c r="F27" i="7"/>
  <c r="D27" i="7"/>
  <c r="E24" i="7"/>
  <c r="F24" i="7"/>
  <c r="D24" i="7"/>
  <c r="E22" i="7"/>
  <c r="F22" i="7"/>
  <c r="D22" i="7"/>
  <c r="E20" i="7"/>
  <c r="F20" i="7"/>
  <c r="D20" i="7"/>
  <c r="F26" i="3"/>
  <c r="F25" i="7"/>
  <c r="E25" i="7"/>
  <c r="D25" i="7"/>
  <c r="C39" i="1"/>
  <c r="A1" i="5"/>
  <c r="B21" i="5"/>
  <c r="A1" i="3"/>
  <c r="A1" i="2"/>
  <c r="A1" i="1"/>
  <c r="A1" i="7"/>
  <c r="L21" i="3" l="1"/>
  <c r="M21" i="3"/>
  <c r="N21" i="3" s="1"/>
  <c r="O21" i="3" s="1"/>
  <c r="O22" i="3" s="1"/>
  <c r="I36" i="3"/>
  <c r="J36" i="3"/>
  <c r="D40" i="7"/>
  <c r="C40" i="1"/>
  <c r="C18" i="1"/>
  <c r="E39" i="7"/>
  <c r="E41" i="7" s="1"/>
  <c r="F39" i="7"/>
  <c r="B22" i="5" s="1"/>
  <c r="D39" i="7"/>
  <c r="D41" i="7" s="1"/>
  <c r="C21" i="5"/>
  <c r="C23" i="5"/>
  <c r="C31" i="1"/>
  <c r="B7" i="2" s="1"/>
  <c r="B9" i="2" s="1"/>
  <c r="A9" i="5"/>
  <c r="C35" i="1"/>
  <c r="B14" i="2" s="1"/>
  <c r="D11" i="3"/>
  <c r="C11" i="3"/>
  <c r="B8" i="2"/>
  <c r="F41" i="3"/>
  <c r="G41" i="3" s="1"/>
  <c r="H41" i="3" s="1"/>
  <c r="I41" i="3" s="1"/>
  <c r="J41" i="3" s="1"/>
  <c r="K41" i="3" s="1"/>
  <c r="L41" i="3" s="1"/>
  <c r="M41" i="3" s="1"/>
  <c r="N41" i="3" s="1"/>
  <c r="F34" i="3"/>
  <c r="G34" i="3" s="1"/>
  <c r="H34" i="3" s="1"/>
  <c r="I34" i="3" s="1"/>
  <c r="J34" i="3" s="1"/>
  <c r="K34" i="3" s="1"/>
  <c r="L34" i="3" s="1"/>
  <c r="M34" i="3" s="1"/>
  <c r="N34" i="3" s="1"/>
  <c r="O34" i="3" s="1"/>
  <c r="G33" i="3"/>
  <c r="H33" i="3" s="1"/>
  <c r="I33" i="3" s="1"/>
  <c r="J33" i="3" s="1"/>
  <c r="K33" i="3" s="1"/>
  <c r="L33" i="3" s="1"/>
  <c r="M33" i="3" s="1"/>
  <c r="N33" i="3" s="1"/>
  <c r="O33" i="3" s="1"/>
  <c r="G26" i="3"/>
  <c r="H26" i="3" s="1"/>
  <c r="I26" i="3" s="1"/>
  <c r="J26" i="3" s="1"/>
  <c r="K26" i="3" s="1"/>
  <c r="L26" i="3" s="1"/>
  <c r="M26" i="3" s="1"/>
  <c r="N26" i="3" s="1"/>
  <c r="O26" i="3" s="1"/>
  <c r="G18" i="3"/>
  <c r="H18" i="3" s="1"/>
  <c r="I18" i="3" s="1"/>
  <c r="J18" i="3" s="1"/>
  <c r="K18" i="3" s="1"/>
  <c r="L18" i="3" s="1"/>
  <c r="M18" i="3" s="1"/>
  <c r="N18" i="3" s="1"/>
  <c r="O18" i="3" s="1"/>
  <c r="O20" i="3" s="1"/>
  <c r="F19" i="3"/>
  <c r="G19" i="3" s="1"/>
  <c r="H19" i="3" s="1"/>
  <c r="I19" i="3" s="1"/>
  <c r="J19" i="3" s="1"/>
  <c r="K19" i="3" s="1"/>
  <c r="L19" i="3" s="1"/>
  <c r="M19" i="3" s="1"/>
  <c r="N19" i="3" s="1"/>
  <c r="O19" i="3" s="1"/>
  <c r="B15" i="2"/>
  <c r="B13" i="2"/>
  <c r="B6" i="2"/>
  <c r="D7" i="7"/>
  <c r="D9" i="7"/>
  <c r="C12" i="1" s="1"/>
  <c r="B23" i="5" s="1"/>
  <c r="D6" i="7"/>
  <c r="C9" i="1" s="1"/>
  <c r="E36" i="7"/>
  <c r="F36" i="7"/>
  <c r="C11" i="1" s="1"/>
  <c r="D36" i="7"/>
  <c r="E40" i="7"/>
  <c r="E42" i="7" s="1"/>
  <c r="F40" i="7"/>
  <c r="F42" i="7" s="1"/>
  <c r="D14" i="7" s="1"/>
  <c r="C17" i="1" s="1"/>
  <c r="F38" i="7"/>
  <c r="D10" i="7" s="1"/>
  <c r="C13" i="1" s="1"/>
  <c r="E38" i="7"/>
  <c r="D38" i="7"/>
  <c r="K36" i="3" l="1"/>
  <c r="F24" i="3"/>
  <c r="O41" i="3"/>
  <c r="D42" i="7"/>
  <c r="L23" i="3"/>
  <c r="L25" i="3" s="1"/>
  <c r="E38" i="3"/>
  <c r="C10" i="1"/>
  <c r="C41" i="1" s="1"/>
  <c r="F38" i="3" s="1"/>
  <c r="F41" i="7"/>
  <c r="D13" i="7" s="1"/>
  <c r="C16" i="1" s="1"/>
  <c r="D21" i="5"/>
  <c r="D23" i="5"/>
  <c r="C25" i="1"/>
  <c r="K23" i="3"/>
  <c r="K25" i="3" s="1"/>
  <c r="K28" i="3" s="1"/>
  <c r="O35" i="3"/>
  <c r="K35" i="3"/>
  <c r="L35" i="3"/>
  <c r="M35" i="3"/>
  <c r="J35" i="3"/>
  <c r="N20" i="3"/>
  <c r="N35" i="3"/>
  <c r="E23" i="3"/>
  <c r="G23" i="3"/>
  <c r="N23" i="3"/>
  <c r="D12" i="7"/>
  <c r="C15" i="1" s="1"/>
  <c r="C13" i="2" s="1"/>
  <c r="D11" i="7"/>
  <c r="C14" i="1" s="1"/>
  <c r="M23" i="3"/>
  <c r="J23" i="3"/>
  <c r="I23" i="3"/>
  <c r="H23" i="3"/>
  <c r="M20" i="3"/>
  <c r="L20" i="3"/>
  <c r="K20" i="3"/>
  <c r="F27" i="3" l="1"/>
  <c r="F39" i="3"/>
  <c r="L28" i="3"/>
  <c r="C9" i="5"/>
  <c r="C22" i="5"/>
  <c r="D22" i="5" s="1"/>
  <c r="G25" i="3"/>
  <c r="G28" i="3" s="1"/>
  <c r="I25" i="3"/>
  <c r="I28" i="3" s="1"/>
  <c r="J25" i="3"/>
  <c r="J28" i="3" s="1"/>
  <c r="F25" i="3"/>
  <c r="F28" i="3" s="1"/>
  <c r="N25" i="3"/>
  <c r="N28" i="3" s="1"/>
  <c r="H25" i="3"/>
  <c r="H28" i="3" s="1"/>
  <c r="M25" i="3"/>
  <c r="M28" i="3" s="1"/>
  <c r="D13" i="2"/>
  <c r="C8" i="2"/>
  <c r="D8" i="2" s="1"/>
  <c r="E8" i="2" s="1"/>
  <c r="C15" i="2"/>
  <c r="D15" i="2" s="1"/>
  <c r="E15" i="2" s="1"/>
  <c r="F15" i="2" s="1"/>
  <c r="C14" i="2"/>
  <c r="G24" i="3"/>
  <c r="G27" i="3" s="1"/>
  <c r="L36" i="3" l="1"/>
  <c r="E13" i="2"/>
  <c r="F13" i="2" s="1"/>
  <c r="B14" i="5"/>
  <c r="C14" i="5" s="1"/>
  <c r="D14" i="5" s="1"/>
  <c r="G29" i="3"/>
  <c r="G38" i="3"/>
  <c r="H38" i="3"/>
  <c r="I38" i="3"/>
  <c r="I40" i="3" s="1"/>
  <c r="I43" i="3" s="1"/>
  <c r="J38" i="3"/>
  <c r="J40" i="3" s="1"/>
  <c r="J43" i="3" s="1"/>
  <c r="K38" i="3"/>
  <c r="K40" i="3" s="1"/>
  <c r="K43" i="3" s="1"/>
  <c r="L38" i="3"/>
  <c r="L40" i="3" s="1"/>
  <c r="L43" i="3" s="1"/>
  <c r="C9" i="2"/>
  <c r="D9" i="2" s="1"/>
  <c r="E9" i="2" s="1"/>
  <c r="F9" i="2" s="1"/>
  <c r="M38" i="3"/>
  <c r="M40" i="3" s="1"/>
  <c r="M43" i="3" s="1"/>
  <c r="N38" i="3"/>
  <c r="N40" i="3" s="1"/>
  <c r="N43" i="3" s="1"/>
  <c r="F42" i="3"/>
  <c r="F40" i="3"/>
  <c r="F43" i="3" s="1"/>
  <c r="D14" i="2"/>
  <c r="E14" i="2" s="1"/>
  <c r="F14" i="2" s="1"/>
  <c r="C6" i="2"/>
  <c r="D6" i="2" s="1"/>
  <c r="C7" i="2"/>
  <c r="D7" i="2" s="1"/>
  <c r="B13" i="5" s="1"/>
  <c r="C13" i="5" s="1"/>
  <c r="D13" i="5" s="1"/>
  <c r="H24" i="3"/>
  <c r="H27" i="3" s="1"/>
  <c r="F8" i="2"/>
  <c r="M36" i="3" l="1"/>
  <c r="G39" i="3"/>
  <c r="G42" i="3" s="1"/>
  <c r="H40" i="3"/>
  <c r="H43" i="3" s="1"/>
  <c r="F29" i="3"/>
  <c r="G40" i="3"/>
  <c r="G43" i="3" s="1"/>
  <c r="F44" i="3"/>
  <c r="E6" i="2"/>
  <c r="F6" i="2" s="1"/>
  <c r="E7" i="2"/>
  <c r="F7" i="2" s="1"/>
  <c r="I27" i="3"/>
  <c r="H29" i="3"/>
  <c r="N36" i="3" l="1"/>
  <c r="H39" i="3"/>
  <c r="G44" i="3"/>
  <c r="I29" i="3"/>
  <c r="O25" i="3" l="1"/>
  <c r="O36" i="3"/>
  <c r="D36" i="3" s="1"/>
  <c r="D21" i="3"/>
  <c r="I39" i="3"/>
  <c r="H42" i="3"/>
  <c r="H44" i="3" s="1"/>
  <c r="K24" i="3"/>
  <c r="I42" i="3" l="1"/>
  <c r="O37" i="3"/>
  <c r="J39" i="3"/>
  <c r="K39" i="3"/>
  <c r="K42" i="3" s="1"/>
  <c r="L39" i="3"/>
  <c r="L24" i="3"/>
  <c r="K27" i="3"/>
  <c r="K29" i="3" s="1"/>
  <c r="I44" i="3" l="1"/>
  <c r="J42" i="3"/>
  <c r="D37" i="3"/>
  <c r="M39" i="3"/>
  <c r="L42" i="3"/>
  <c r="K44" i="3"/>
  <c r="J29" i="3"/>
  <c r="L27" i="3"/>
  <c r="L29" i="3" s="1"/>
  <c r="J44" i="3" l="1"/>
  <c r="M42" i="3"/>
  <c r="N39" i="3"/>
  <c r="N42" i="3" s="1"/>
  <c r="M24" i="3"/>
  <c r="L44" i="3"/>
  <c r="O24" i="3" l="1"/>
  <c r="M44" i="3"/>
  <c r="M27" i="3"/>
  <c r="N24" i="3"/>
  <c r="O40" i="3" l="1"/>
  <c r="O39" i="3"/>
  <c r="N44" i="3"/>
  <c r="M29" i="3"/>
  <c r="N27" i="3"/>
  <c r="N29" i="3" s="1"/>
  <c r="O42" i="3" l="1"/>
  <c r="D42" i="3" s="1"/>
  <c r="O28" i="3"/>
  <c r="D28" i="3" s="1"/>
  <c r="D22" i="3"/>
  <c r="O27" i="3"/>
  <c r="D7" i="3" l="1"/>
  <c r="O43" i="3"/>
  <c r="D43" i="3" s="1"/>
  <c r="D8" i="3" s="1"/>
  <c r="D27" i="3"/>
  <c r="D30" i="3" s="1"/>
  <c r="C8" i="3"/>
  <c r="O29" i="3"/>
  <c r="O44" i="3" l="1"/>
  <c r="D45" i="3"/>
  <c r="D9" i="3"/>
  <c r="C7" i="3"/>
  <c r="D10" i="3" l="1"/>
  <c r="B16" i="5"/>
  <c r="C16" i="5" s="1"/>
  <c r="D16" i="5" s="1"/>
  <c r="D12" i="3"/>
  <c r="D13" i="3"/>
  <c r="C9" i="3"/>
  <c r="E9" i="5" l="1"/>
  <c r="B15" i="5"/>
  <c r="C15" i="5" s="1"/>
  <c r="D15" i="5" s="1"/>
  <c r="C13" i="3"/>
  <c r="C12" i="3"/>
  <c r="C10" i="3"/>
</calcChain>
</file>

<file path=xl/sharedStrings.xml><?xml version="1.0" encoding="utf-8"?>
<sst xmlns="http://schemas.openxmlformats.org/spreadsheetml/2006/main" count="424" uniqueCount="309">
  <si>
    <t>WACC</t>
  </si>
  <si>
    <t>Terminal Growth Rate (g)</t>
  </si>
  <si>
    <t>Japan nominal GDP reference; conservative</t>
  </si>
  <si>
    <t>Year-1 FCF Growth  (FY2027, applied)</t>
  </si>
  <si>
    <t>Years 2–5 FCF Growth  (mid-term)</t>
  </si>
  <si>
    <t>Years 6–10 FCF Growth  (long-term)</t>
  </si>
  <si>
    <t>Through-cycle commodity average</t>
  </si>
  <si>
    <t>Metric</t>
  </si>
  <si>
    <t>Value</t>
  </si>
  <si>
    <t>Scenario</t>
  </si>
  <si>
    <t>P/E Applied</t>
  </si>
  <si>
    <t>FY2027 EPS (¥)</t>
  </si>
  <si>
    <t>Implied Price (¥)</t>
  </si>
  <si>
    <t>vs Current ¥5,500</t>
  </si>
  <si>
    <t>Upside / (Downside)</t>
  </si>
  <si>
    <t>P/B Applied</t>
  </si>
  <si>
    <t>BPS  (¥)</t>
  </si>
  <si>
    <t>PV of 10-Year FCFs</t>
  </si>
  <si>
    <t>PV of Terminal Value</t>
  </si>
  <si>
    <t>TV as % of Intrinsic Value</t>
  </si>
  <si>
    <t>★  INTRINSIC VALUE  (DCF)</t>
  </si>
  <si>
    <t>Current Share Price</t>
  </si>
  <si>
    <t>Difference  (Intrinsic−Market)</t>
  </si>
  <si>
    <t>Upside / (Downside)  %</t>
  </si>
  <si>
    <t xml:space="preserve">  Current Price</t>
  </si>
  <si>
    <t xml:space="preserve">  Forward P/E</t>
  </si>
  <si>
    <t xml:space="preserve">  DCF Intrinsic</t>
  </si>
  <si>
    <t>Valuation Method</t>
  </si>
  <si>
    <t>FY2026/3 Actual</t>
  </si>
  <si>
    <t>FY2027/3 Guided</t>
  </si>
  <si>
    <t>Change</t>
  </si>
  <si>
    <t xml:space="preserve">  ⚡  Risk Sensitivities  — What happens to profits when these change?  (confirmed in earnings release)</t>
  </si>
  <si>
    <t>Risk Factor</t>
  </si>
  <si>
    <t>Impact on Net Profit</t>
  </si>
  <si>
    <t>Direction</t>
  </si>
  <si>
    <t>Up → profit up; down → profit down</t>
  </si>
  <si>
    <t>USD/JPY  ±¥1</t>
  </si>
  <si>
    <t>Yen weak → profit up; Yen strong → down</t>
  </si>
  <si>
    <t>⚠️  For educational purposes only. Not investment advice. Always verify figures against official filings. Past performance does not indicate future results. Japan Stock Alpha — japanstockalpha.com</t>
  </si>
  <si>
    <t xml:space="preserve">  Price ÷ FY2027 guided EPS</t>
    <phoneticPr fontId="19"/>
  </si>
  <si>
    <t>FY 2023</t>
    <phoneticPr fontId="19"/>
  </si>
  <si>
    <t>FY 2024</t>
    <phoneticPr fontId="19"/>
  </si>
  <si>
    <t>FY 2025</t>
    <phoneticPr fontId="19"/>
  </si>
  <si>
    <t>Unit</t>
    <phoneticPr fontId="19"/>
  </si>
  <si>
    <t>¥ mn</t>
  </si>
  <si>
    <t>¥/share</t>
  </si>
  <si>
    <t>%</t>
  </si>
  <si>
    <t>Equity attributable to owners</t>
  </si>
  <si>
    <t>BPS</t>
  </si>
  <si>
    <t>Operating cash flow</t>
  </si>
  <si>
    <t>Investing cash flow</t>
  </si>
  <si>
    <t>Free cash flow</t>
  </si>
  <si>
    <t>¥ mn</t>
    <phoneticPr fontId="19"/>
  </si>
  <si>
    <t>Net Income</t>
    <phoneticPr fontId="19"/>
  </si>
  <si>
    <t>EPS</t>
  </si>
  <si>
    <t>EPS</t>
    <phoneticPr fontId="19"/>
  </si>
  <si>
    <t>Actual</t>
    <phoneticPr fontId="19"/>
  </si>
  <si>
    <t>Share Price (Closing Price at the end of FY)</t>
  </si>
  <si>
    <t>Share Price (Closing Price at the end of FY)</t>
    <phoneticPr fontId="19"/>
  </si>
  <si>
    <t>PER</t>
  </si>
  <si>
    <t>PER</t>
    <phoneticPr fontId="19"/>
  </si>
  <si>
    <t>multiple</t>
  </si>
  <si>
    <t>multiple</t>
    <phoneticPr fontId="19"/>
  </si>
  <si>
    <t>¥</t>
  </si>
  <si>
    <t xml:space="preserve">Income </t>
    <phoneticPr fontId="19"/>
  </si>
  <si>
    <t>Cashflow</t>
    <phoneticPr fontId="19"/>
  </si>
  <si>
    <t>Financial Postions</t>
    <phoneticPr fontId="19"/>
  </si>
  <si>
    <t>Total Asset</t>
    <phoneticPr fontId="19"/>
  </si>
  <si>
    <t>Total Equity</t>
    <phoneticPr fontId="19"/>
  </si>
  <si>
    <t>BPS</t>
    <phoneticPr fontId="19"/>
  </si>
  <si>
    <t>¥/share</t>
    <phoneticPr fontId="19"/>
  </si>
  <si>
    <t>Cash &amp; Cash Equivalent</t>
    <phoneticPr fontId="19"/>
  </si>
  <si>
    <t>Key Stats/Stock Data</t>
    <phoneticPr fontId="19"/>
  </si>
  <si>
    <t>Dividend Yield</t>
  </si>
  <si>
    <t>Dividend Yield</t>
    <phoneticPr fontId="19"/>
  </si>
  <si>
    <t>%</t>
    <phoneticPr fontId="19"/>
  </si>
  <si>
    <t>PBR</t>
  </si>
  <si>
    <t>PBR</t>
    <phoneticPr fontId="19"/>
  </si>
  <si>
    <t>Outstanding Shares</t>
  </si>
  <si>
    <t>Outstanding Shares</t>
    <phoneticPr fontId="19"/>
  </si>
  <si>
    <t>No. in thousand</t>
  </si>
  <si>
    <t>No. in thousand</t>
    <phoneticPr fontId="19"/>
  </si>
  <si>
    <t>Note</t>
    <phoneticPr fontId="19"/>
  </si>
  <si>
    <t>Implied Price — Forward PER Scenarios</t>
    <phoneticPr fontId="19"/>
  </si>
  <si>
    <t>Sector Low</t>
    <phoneticPr fontId="19"/>
  </si>
  <si>
    <t>Sector High</t>
    <phoneticPr fontId="19"/>
  </si>
  <si>
    <t>Sector Mid</t>
    <phoneticPr fontId="19"/>
  </si>
  <si>
    <t>Financial Results</t>
    <phoneticPr fontId="19"/>
  </si>
  <si>
    <t>Market Cap</t>
  </si>
  <si>
    <t>Market Cap</t>
    <phoneticPr fontId="19"/>
  </si>
  <si>
    <t>Summary as of End of FY2025</t>
    <phoneticPr fontId="19"/>
  </si>
  <si>
    <t>Value</t>
    <phoneticPr fontId="19"/>
  </si>
  <si>
    <t>Actual Results</t>
    <phoneticPr fontId="19"/>
  </si>
  <si>
    <t>Net Income/Earnings FY2026</t>
    <phoneticPr fontId="19"/>
  </si>
  <si>
    <t>Underlying Operating Cashflow</t>
    <phoneticPr fontId="19"/>
  </si>
  <si>
    <t>Dividends</t>
    <phoneticPr fontId="19"/>
  </si>
  <si>
    <t>Market</t>
    <phoneticPr fontId="19"/>
  </si>
  <si>
    <t>Guidance from Earning Report</t>
    <phoneticPr fontId="19"/>
  </si>
  <si>
    <t>Sector PER - Low (appx)</t>
    <phoneticPr fontId="19"/>
  </si>
  <si>
    <t>Sector PER - High (appx)</t>
    <phoneticPr fontId="19"/>
  </si>
  <si>
    <t>Sector PER - Mid (appx)</t>
    <phoneticPr fontId="19"/>
  </si>
  <si>
    <t>Upside / (Downside)</t>
    <phoneticPr fontId="19"/>
  </si>
  <si>
    <t>Free Cashflow Growth Rate</t>
    <phoneticPr fontId="19"/>
  </si>
  <si>
    <t>No.in thousand</t>
    <phoneticPr fontId="19"/>
  </si>
  <si>
    <t>FCF / Share</t>
    <phoneticPr fontId="19"/>
  </si>
  <si>
    <t>Discount Factor</t>
    <phoneticPr fontId="19"/>
  </si>
  <si>
    <t>Cumulative PV</t>
    <phoneticPr fontId="19"/>
  </si>
  <si>
    <t>factor</t>
    <phoneticPr fontId="19"/>
  </si>
  <si>
    <t>Terminal Value</t>
    <phoneticPr fontId="19"/>
  </si>
  <si>
    <t>Inputs - Multiples Valuation</t>
    <phoneticPr fontId="19"/>
  </si>
  <si>
    <t>Terminal Value / Share</t>
    <phoneticPr fontId="19"/>
  </si>
  <si>
    <t>Present Value - FCF/Share</t>
    <phoneticPr fontId="19"/>
  </si>
  <si>
    <t>Present Value - TV/Share</t>
    <phoneticPr fontId="19"/>
  </si>
  <si>
    <t>Present Value - FCF &amp; TV / Share</t>
    <phoneticPr fontId="19"/>
  </si>
  <si>
    <t>Total</t>
    <phoneticPr fontId="19"/>
  </si>
  <si>
    <t>Inputs - DCF</t>
    <phoneticPr fontId="19"/>
  </si>
  <si>
    <t>Summary - DCF</t>
    <phoneticPr fontId="19"/>
  </si>
  <si>
    <t>Calculations - DCF</t>
    <phoneticPr fontId="19"/>
  </si>
  <si>
    <t>Share Buy Back at the end of FY2026</t>
    <phoneticPr fontId="19"/>
  </si>
  <si>
    <t>Share Buy Back Execution Price</t>
    <phoneticPr fontId="19"/>
  </si>
  <si>
    <t>No. of cancelled shares</t>
    <phoneticPr fontId="19"/>
  </si>
  <si>
    <t>Outstanding Shares post Share Buy Back in FY2026</t>
    <phoneticPr fontId="19"/>
  </si>
  <si>
    <t>No Share Buy Back</t>
    <phoneticPr fontId="19"/>
  </si>
  <si>
    <t>With Share Buy Back</t>
    <phoneticPr fontId="19"/>
  </si>
  <si>
    <t>Base</t>
    <phoneticPr fontId="19"/>
  </si>
  <si>
    <t>Upside</t>
    <phoneticPr fontId="19"/>
  </si>
  <si>
    <t>Implied Price — P/B Scenarios</t>
    <phoneticPr fontId="19"/>
  </si>
  <si>
    <t>Forward EPS</t>
    <phoneticPr fontId="19"/>
  </si>
  <si>
    <t>Forward PER (at current price)</t>
    <phoneticPr fontId="19"/>
  </si>
  <si>
    <t>CurrentPrice</t>
    <phoneticPr fontId="19"/>
  </si>
  <si>
    <t>ForwardPER</t>
    <phoneticPr fontId="19"/>
  </si>
  <si>
    <t>Sensitivity Inputs</t>
    <phoneticPr fontId="19"/>
  </si>
  <si>
    <t>Net Profit  (¥ mn)</t>
    <phoneticPr fontId="19"/>
  </si>
  <si>
    <t>EPS  (¥)</t>
    <phoneticPr fontId="19"/>
  </si>
  <si>
    <t>Dividend  (¥/share)</t>
    <phoneticPr fontId="19"/>
  </si>
  <si>
    <t>PER Forward 17x (Mid Case)</t>
    <phoneticPr fontId="19"/>
  </si>
  <si>
    <t>P/B 2.0 ×  (historical avg)</t>
    <phoneticPr fontId="19"/>
  </si>
  <si>
    <t>DCF  Base case</t>
    <phoneticPr fontId="19"/>
  </si>
  <si>
    <t>*DCF Base Case with Share Buy Back</t>
    <phoneticPr fontId="19"/>
  </si>
  <si>
    <t>Three Numbers to Know First</t>
    <phoneticPr fontId="19"/>
  </si>
  <si>
    <t>Sector PBR - Low (appx)</t>
    <phoneticPr fontId="19"/>
  </si>
  <si>
    <t>Sector PBR - Mid (appx)</t>
    <phoneticPr fontId="19"/>
  </si>
  <si>
    <t>Sector PBR - High (appx)</t>
    <phoneticPr fontId="19"/>
  </si>
  <si>
    <r>
      <t xml:space="preserve">  </t>
    </r>
    <r>
      <rPr>
        <b/>
        <sz val="11"/>
        <color theme="0"/>
        <rFont val="Segoe UI Emoji"/>
        <family val="2"/>
      </rPr>
      <t>📈</t>
    </r>
    <r>
      <rPr>
        <b/>
        <sz val="11"/>
        <color theme="0"/>
        <rFont val="Arial"/>
        <family val="2"/>
      </rPr>
      <t xml:space="preserve">  Key Financials  —  FY3/2026 Actual &amp; FY3/2027 Guidance  (</t>
    </r>
    <r>
      <rPr>
        <b/>
        <sz val="11"/>
        <color theme="0"/>
        <rFont val="Segoe UI Emoji"/>
        <family val="2"/>
      </rPr>
      <t>✅</t>
    </r>
    <r>
      <rPr>
        <b/>
        <sz val="11"/>
        <color theme="0"/>
        <rFont val="Arial"/>
        <family val="2"/>
      </rPr>
      <t xml:space="preserve"> = confirmed in earnings release)</t>
    </r>
    <phoneticPr fontId="19"/>
  </si>
  <si>
    <t>&lt;--Less than 70% = Healthy</t>
    <phoneticPr fontId="19"/>
  </si>
  <si>
    <t>Current Share Price (as of 22 May 2026)</t>
    <phoneticPr fontId="19"/>
  </si>
  <si>
    <t>Company Name</t>
    <phoneticPr fontId="19"/>
  </si>
  <si>
    <t>Ticker</t>
    <phoneticPr fontId="19"/>
  </si>
  <si>
    <t>Valuation Dashboard (Sample/Simplified)</t>
    <phoneticPr fontId="19"/>
  </si>
  <si>
    <t>Historical Results</t>
    <phoneticPr fontId="19"/>
  </si>
  <si>
    <t>Key Assumptions</t>
    <phoneticPr fontId="19"/>
  </si>
  <si>
    <t>Multiple Valuation</t>
    <phoneticPr fontId="19"/>
  </si>
  <si>
    <t>DCF Valuation</t>
    <phoneticPr fontId="19"/>
  </si>
  <si>
    <t>vs Current</t>
    <phoneticPr fontId="19"/>
  </si>
  <si>
    <t>Line item</t>
  </si>
  <si>
    <t>Dividends received</t>
  </si>
  <si>
    <t>Depreciation and amortization</t>
  </si>
  <si>
    <t>Repayments of lease liabilities</t>
  </si>
  <si>
    <t>Effect of exchange rate changes on cash and cash equivalents</t>
  </si>
  <si>
    <t>Upside - Share Buy Back</t>
    <phoneticPr fontId="19"/>
  </si>
  <si>
    <t>Gross profit</t>
  </si>
  <si>
    <t>Profit for the year</t>
  </si>
  <si>
    <t>Interest received</t>
  </si>
  <si>
    <t>Interest paid</t>
  </si>
  <si>
    <t>Income taxes paid</t>
  </si>
  <si>
    <t>Cash flows from operating activities</t>
  </si>
  <si>
    <t>Purchases of investment property</t>
  </si>
  <si>
    <t>Cash flows from investing activities</t>
  </si>
  <si>
    <t>Cash flows from financing activities</t>
  </si>
  <si>
    <t>Cash and cash equivalents at beginning of year</t>
  </si>
  <si>
    <t>Cash and cash equivalents at end of year</t>
  </si>
  <si>
    <t>*Underlying Operating Cashflow</t>
    <phoneticPr fontId="19"/>
  </si>
  <si>
    <t>Free Cashflow</t>
  </si>
  <si>
    <t>Ion ore  ±$1/ton</t>
    <phoneticPr fontId="19"/>
  </si>
  <si>
    <t>FY2023 (Mar 31 2024)</t>
  </si>
  <si>
    <t>FY2024 (Mar 31 2025)</t>
  </si>
  <si>
    <t>FY2025 (Mar 31 2026)</t>
  </si>
  <si>
    <t>ASSETS_Current assets_Cash and cash equivalents</t>
  </si>
  <si>
    <t>ASSETS_Current assets_Time deposits</t>
  </si>
  <si>
    <t>ASSETS_Current assets_Marketable securities</t>
  </si>
  <si>
    <t>ASSETS_Current assets_Trade and other receivables</t>
  </si>
  <si>
    <t>ASSETS_Current assets_Contract assets</t>
  </si>
  <si>
    <t>ASSETS_Current assets_Other financial assets</t>
  </si>
  <si>
    <t>ASSETS_Current assets_Inventories</t>
  </si>
  <si>
    <t>ASSETS_Current assets_Advance payments to suppliers</t>
  </si>
  <si>
    <t>ASSETS_Current assets_Assets classified as held for sale</t>
  </si>
  <si>
    <t>ASSETS_Current assets_Other current assets</t>
  </si>
  <si>
    <t>ASSETS_Total current assets</t>
  </si>
  <si>
    <t>ASSETS_Non-current assets_Investments accounted for using the equity method</t>
  </si>
  <si>
    <t>ASSETS_Non-current assets_Other investments</t>
  </si>
  <si>
    <t>ASSETS_Non-current assets_Trade and other receivables</t>
  </si>
  <si>
    <t>ASSETS_Non-current assets_Other financial assets</t>
  </si>
  <si>
    <t>ASSETS_Non-current assets_Property, plant and equipment</t>
  </si>
  <si>
    <t>ASSETS_Non-current assets_Intangible assets</t>
  </si>
  <si>
    <t>ASSETS_Non-current assets_Investment property</t>
  </si>
  <si>
    <t>ASSETS_Non-current assets_Biological assets</t>
  </si>
  <si>
    <t>ASSETS_Non-current assets_Deferred tax assets</t>
  </si>
  <si>
    <t>ASSETS_Non-current assets_Other non-current assets</t>
  </si>
  <si>
    <t>ASSETS_Total non-current assets</t>
  </si>
  <si>
    <t>ASSETS_Total assets</t>
  </si>
  <si>
    <t>LIABILITIES_Current liabilities_Bonds and borrowings</t>
  </si>
  <si>
    <t>LIABILITIES_Current liabilities_Trade and other payables</t>
  </si>
  <si>
    <t>LIABILITIES_Current liabilities_Lease liabilities</t>
  </si>
  <si>
    <t>LIABILITIES_Current liabilities_Other financial liabilities</t>
  </si>
  <si>
    <t>LIABILITIES_Current liabilities_Income tax payables</t>
  </si>
  <si>
    <t>LIABILITIES_Current liabilities_Accrued expenses</t>
  </si>
  <si>
    <t>LIABILITIES_Current liabilities_Contract liabilities</t>
  </si>
  <si>
    <t>LIABILITIES_Current liabilities_Provisions</t>
  </si>
  <si>
    <t>LIABILITIES_Current liabilities_Liabilities associated with assets classified as held for sale</t>
  </si>
  <si>
    <t>LIABILITIES_Current liabilities_Other current liabilities</t>
  </si>
  <si>
    <t>LIABILITIES_Total current liabilities</t>
  </si>
  <si>
    <t>LIABILITIES_Non-current liabilities_Bonds and borrowings</t>
  </si>
  <si>
    <t>LIABILITIES_Non-current liabilities_Trade and other payables</t>
  </si>
  <si>
    <t>LIABILITIES_Non-current liabilities_Lease liabilities</t>
  </si>
  <si>
    <t>LIABILITIES_Non-current liabilities_Other financial liabilities</t>
  </si>
  <si>
    <t>LIABILITIES_Non-current liabilities_Accrued pension and retirement benefits</t>
  </si>
  <si>
    <t>LIABILITIES_Non-current liabilities_Provisions</t>
  </si>
  <si>
    <t>LIABILITIES_Non-current liabilities_Deferred tax liabilities</t>
  </si>
  <si>
    <t>LIABILITIES_Total non-current liabilities</t>
  </si>
  <si>
    <t>LIABILITIES_Total liabilities</t>
  </si>
  <si>
    <t>EQUITY_Common stock</t>
  </si>
  <si>
    <t>EQUITY_Additional paid-in capital</t>
  </si>
  <si>
    <t>EQUITY_Treasury stock</t>
  </si>
  <si>
    <t>EQUITY_Other components of equity</t>
  </si>
  <si>
    <t>EQUITY_Retained earnings</t>
  </si>
  <si>
    <t>EQUITY_Equity attributable to owners of the parent</t>
  </si>
  <si>
    <t>EQUITY_Non-controlling interests</t>
  </si>
  <si>
    <t>EQUITY_Total equity</t>
  </si>
  <si>
    <t>LIABILITIES_AND_EQUITY_Total liabilities and equity</t>
  </si>
  <si>
    <t>Revenues_Sales of tangible products</t>
  </si>
  <si>
    <t>Revenues_Sales of services and others</t>
  </si>
  <si>
    <t>Total revenues</t>
  </si>
  <si>
    <t>Cost_Cost of tangible products sold</t>
  </si>
  <si>
    <t>Cost_Cost of services and others</t>
  </si>
  <si>
    <t>Total cost</t>
  </si>
  <si>
    <t>Other income/expenses_SG&amp;A</t>
  </si>
  <si>
    <t>Other income/expenses_Impairment reversal/loss on long-lived assets</t>
  </si>
  <si>
    <t>Other income/expenses_Gain/loss on sale of long-lived assets, net</t>
  </si>
  <si>
    <t>Other income/expenses_Other, net</t>
  </si>
  <si>
    <t>Total other income/expenses</t>
  </si>
  <si>
    <t>Finance income/costs_Interest income</t>
  </si>
  <si>
    <t>Finance income/costs_Interest expense</t>
  </si>
  <si>
    <t>Finance income/costs_Dividends</t>
  </si>
  <si>
    <t>Finance income/costs_Gain/loss on securities and other investments, net</t>
  </si>
  <si>
    <t>Finance income/costs, net</t>
  </si>
  <si>
    <t>Share of profit/loss of investments accounted for using equity method</t>
  </si>
  <si>
    <t>Profit before tax</t>
  </si>
  <si>
    <t>Income tax expense</t>
  </si>
  <si>
    <t>Profit attributable to owners of the parent</t>
  </si>
  <si>
    <t>Profit attributable to non-controlling interests</t>
  </si>
  <si>
    <t>OCI_FVOCI financial assets</t>
  </si>
  <si>
    <t>OCI_Remeasurements of defined benefit pension plans</t>
  </si>
  <si>
    <t>OCI_Share of OCI of equity method investments (not reclassified)</t>
  </si>
  <si>
    <t>Total items not reclassified to profit/loss</t>
  </si>
  <si>
    <t>OCI_Exchange differences translating foreign operations</t>
  </si>
  <si>
    <t>OCI_Cash-flow hedges</t>
  </si>
  <si>
    <t>OCI_Hedging cost</t>
  </si>
  <si>
    <t>OCI_Share of OCI of equity method investments (may be reclassified)</t>
  </si>
  <si>
    <t>Total items may be reclassified to profit/loss</t>
  </si>
  <si>
    <t>Other comprehensive income, net of tax</t>
  </si>
  <si>
    <t>Comprehensive income for the year</t>
  </si>
  <si>
    <t>Comprehensive income attributable to owners of the parent</t>
  </si>
  <si>
    <t>Comprehensive income attributable to non-controlling interests</t>
  </si>
  <si>
    <t>EPS basic (yen)</t>
  </si>
  <si>
    <t>EPS diluted (yen)</t>
  </si>
  <si>
    <t>Impairment loss on long-lived assets</t>
  </si>
  <si>
    <t>Finance income costs net</t>
  </si>
  <si>
    <t>Share of profit/loss of equity method investments</t>
  </si>
  <si>
    <t>Gain/loss on sale of long-lived assets net</t>
  </si>
  <si>
    <t>Changes in inventories</t>
  </si>
  <si>
    <t>Changes in trade and other receivables</t>
  </si>
  <si>
    <t>Changes in prepaid expenses</t>
  </si>
  <si>
    <t>Changes in trade and other payables</t>
  </si>
  <si>
    <t>Other net</t>
  </si>
  <si>
    <t>Proceeds from sale of PPE</t>
  </si>
  <si>
    <t>Purchases of PPE</t>
  </si>
  <si>
    <t>Proceeds from sale of investment property</t>
  </si>
  <si>
    <t>Proceeds from sale of businesses net</t>
  </si>
  <si>
    <t>Acquisition of businesses net</t>
  </si>
  <si>
    <t>Proceeds from disposal of other investments</t>
  </si>
  <si>
    <t>Acquisitions of other investments</t>
  </si>
  <si>
    <t>Collection of loans receivable</t>
  </si>
  <si>
    <t>Increase in loans receivable</t>
  </si>
  <si>
    <t>Net changes in short-term debts</t>
  </si>
  <si>
    <t>Proceeds from issuance of long-term debts</t>
  </si>
  <si>
    <t>Repayments of long-term debts</t>
  </si>
  <si>
    <t>Cash dividends paid</t>
  </si>
  <si>
    <t>Capital contribution from non-controlling interests</t>
  </si>
  <si>
    <t>Payments for acquisitions of subsidiary's interests from NCI</t>
  </si>
  <si>
    <t>Payments of dividends to non-controlling interests</t>
  </si>
  <si>
    <t>Acquisitions and disposal of treasury stock net</t>
  </si>
  <si>
    <t>Net changes in cash and cash equivalents</t>
  </si>
  <si>
    <t>Net changes resulting from transfer to held for sale</t>
  </si>
  <si>
    <t>Item</t>
  </si>
  <si>
    <t>Company</t>
  </si>
  <si>
    <t>Sumitomo Corporation</t>
  </si>
  <si>
    <t>Source files</t>
  </si>
  <si>
    <t>2503Tanshin (1).pdf; 2603Tanshin.pdf</t>
  </si>
  <si>
    <t>Units</t>
  </si>
  <si>
    <t>Millions of yen, except EPS in yen</t>
  </si>
  <si>
    <t>Fiscal years</t>
  </si>
  <si>
    <t>FY2023=year ended Mar 31 2024; FY2024=Mar 31 2025; FY2025=Mar 31 2026</t>
  </si>
  <si>
    <t>Sumitomo Corporation</t>
    <phoneticPr fontId="19"/>
  </si>
  <si>
    <t>8053.T</t>
    <phoneticPr fontId="19"/>
  </si>
  <si>
    <t>±¥2.0B/year</t>
  </si>
  <si>
    <t>Copper  ±$1/ton</t>
    <phoneticPr fontId="19"/>
  </si>
  <si>
    <t>±¥0.46B/year</t>
    <phoneticPr fontId="19"/>
  </si>
  <si>
    <t xml:space="preserve">  TSE close · 29 May 2026</t>
    <phoneticPr fontId="19"/>
  </si>
  <si>
    <t>&lt;--Direct Input in DCF sheet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</si>
</sst>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\¥#,##0;&quot;(¥&quot;#,##0\);\-"/>
    <numFmt numFmtId="177" formatCode="0.0%;\(0.0%\);\-"/>
    <numFmt numFmtId="178" formatCode="\¥#,##0.0\B;&quot;(¥&quot;#,##0.0&quot;B)&quot;;\-"/>
    <numFmt numFmtId="179" formatCode="0.0\x;\(0.0&quot;x)&quot;;\-"/>
    <numFmt numFmtId="180" formatCode="_(#,##0_);\(#,##0\);_(&quot;-&quot;_);_(@_)"/>
    <numFmt numFmtId="181" formatCode="_(#,##0.0_);\(#,##0.0\);_(&quot;-&quot;_);_(@_)"/>
    <numFmt numFmtId="182" formatCode="_(#,##0.00_);\(#,##0.00\);_(&quot;-&quot;_);_(@_)"/>
    <numFmt numFmtId="183" formatCode="0000\A"/>
    <numFmt numFmtId="184" formatCode="#,##0;[Red]\(#,##0\);\-"/>
    <numFmt numFmtId="185" formatCode="0.0%;[Red]\(0.0%\);\-"/>
    <numFmt numFmtId="186" formatCode="_(#,##0.0_)\x;\(#,##0.0\);_(&quot;-&quot;_);_(@_)"/>
    <numFmt numFmtId="187" formatCode="_(#,##0.0%_);\(#,##0.0%\);_(&quot;-&quot;_)_%;_(@_)_%"/>
    <numFmt numFmtId="188" formatCode="_(#,##0.00_)\x;\(#,##0.00\);_(&quot;-&quot;_);_(@_)"/>
    <numFmt numFmtId="189" formatCode="0.00\x;\(0.00&quot;x)&quot;;\-"/>
    <numFmt numFmtId="190" formatCode="&quot;FY&quot;0"/>
  </numFmts>
  <fonts count="54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9"/>
      <color rgb="FF94A3B8"/>
      <name val="Arial"/>
      <family val="2"/>
    </font>
    <font>
      <b/>
      <sz val="10"/>
      <color rgb="FF0E1E3A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i/>
      <sz val="9"/>
      <color rgb="FF64748B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i/>
      <sz val="8"/>
      <color rgb="FF64748B"/>
      <name val="Arial"/>
      <family val="2"/>
    </font>
    <font>
      <i/>
      <sz val="8"/>
      <color rgb="FF475569"/>
      <name val="Arial"/>
      <family val="2"/>
    </font>
    <font>
      <sz val="9"/>
      <color rgb="FFFFFFFF"/>
      <name val="Arial"/>
      <family val="2"/>
    </font>
    <font>
      <b/>
      <sz val="18"/>
      <color rgb="FFFFFFFF"/>
      <name val="Arial"/>
      <family val="2"/>
    </font>
    <font>
      <i/>
      <sz val="8"/>
      <color rgb="FFFFFFFF"/>
      <name val="Arial"/>
      <family val="2"/>
    </font>
    <font>
      <b/>
      <sz val="10"/>
      <color rgb="FFB45309"/>
      <name val="Arial"/>
      <family val="2"/>
    </font>
    <font>
      <i/>
      <sz val="9"/>
      <color rgb="FF475569"/>
      <name val="Arial"/>
      <family val="2"/>
    </font>
    <font>
      <sz val="9"/>
      <color rgb="FF059669"/>
      <name val="Arial"/>
      <family val="2"/>
    </font>
    <font>
      <i/>
      <sz val="9"/>
      <color rgb="FFDC2626"/>
      <name val="Arial"/>
      <family val="2"/>
    </font>
    <font>
      <b/>
      <sz val="12"/>
      <color theme="0"/>
      <name val="Arial"/>
      <family val="2"/>
    </font>
    <font>
      <sz val="6"/>
      <name val="ＭＳ Ｐゴシック"/>
      <family val="3"/>
      <charset val="128"/>
    </font>
    <font>
      <b/>
      <sz val="15"/>
      <color theme="0"/>
      <name val="Arial"/>
      <family val="2"/>
    </font>
    <font>
      <sz val="11"/>
      <color theme="1"/>
      <name val="Calibri"/>
      <family val="2"/>
    </font>
    <font>
      <sz val="10"/>
      <color theme="1"/>
      <name val="Aptos"/>
      <family val="2"/>
    </font>
    <font>
      <b/>
      <sz val="10"/>
      <color rgb="FF0000FF"/>
      <name val="Arial"/>
      <family val="2"/>
    </font>
    <font>
      <b/>
      <sz val="10"/>
      <color rgb="FF00206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2060"/>
      <name val="Arial"/>
      <family val="2"/>
    </font>
    <font>
      <sz val="11"/>
      <color rgb="FF00206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rgb="FF0000FF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charset val="1"/>
    </font>
    <font>
      <i/>
      <sz val="10"/>
      <name val="Arial"/>
      <family val="2"/>
    </font>
    <font>
      <b/>
      <sz val="11"/>
      <color rgb="FF002060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  <charset val="1"/>
    </font>
    <font>
      <i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rgb="FF008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theme="0"/>
      <name val="Segoe UI Emoji"/>
      <family val="2"/>
    </font>
    <font>
      <sz val="11"/>
      <color theme="1"/>
      <name val="ＭＳ Ｐゴシック"/>
      <family val="2"/>
      <scheme val="minor"/>
    </font>
    <font>
      <b/>
      <sz val="20"/>
      <color rgb="FF002060"/>
      <name val="Arial"/>
      <family val="2"/>
    </font>
    <font>
      <sz val="15"/>
      <color theme="0" tint="-0.499984740745262"/>
      <name val="Arial"/>
      <family val="2"/>
    </font>
    <font>
      <sz val="9"/>
      <color rgb="FF333333"/>
      <name val="Arial"/>
      <family val="2"/>
    </font>
    <font>
      <sz val="11"/>
      <color indexed="63"/>
      <name val="Calibri"/>
      <family val="2"/>
    </font>
    <font>
      <sz val="10"/>
      <color indexed="63"/>
      <name val="Arial"/>
      <family val="2"/>
    </font>
    <font>
      <sz val="10"/>
      <color theme="1"/>
      <name val="ＭＳ Ｐゴシック"/>
      <family val="2"/>
      <charset val="128"/>
    </font>
  </fonts>
  <fills count="19">
    <fill>
      <patternFill patternType="none"/>
    </fill>
    <fill>
      <patternFill patternType="gray125"/>
    </fill>
    <fill>
      <patternFill patternType="solid">
        <fgColor rgb="FF0E1E3A"/>
        <bgColor rgb="FF0F172A"/>
      </patternFill>
    </fill>
    <fill>
      <patternFill patternType="solid">
        <fgColor rgb="FF334155"/>
        <bgColor rgb="FF1E3A5F"/>
      </patternFill>
    </fill>
    <fill>
      <patternFill patternType="solid">
        <fgColor rgb="FFE2E8F0"/>
        <bgColor rgb="FFE0F2FE"/>
      </patternFill>
    </fill>
    <fill>
      <patternFill patternType="solid">
        <fgColor rgb="FFFFFFFF"/>
        <bgColor rgb="FFF0F9FF"/>
      </patternFill>
    </fill>
    <fill>
      <patternFill patternType="solid">
        <fgColor rgb="FF1E3A5F"/>
        <bgColor rgb="FF334155"/>
      </patternFill>
    </fill>
    <fill>
      <patternFill patternType="solid">
        <fgColor rgb="FF00B0F0"/>
        <bgColor rgb="FF334155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8F0"/>
        <bgColor indexed="64"/>
      </patternFill>
    </fill>
    <fill>
      <patternFill patternType="solid">
        <fgColor rgb="FFE2E8F0"/>
        <bgColor rgb="FFF0F9FF"/>
      </patternFill>
    </fill>
    <fill>
      <patternFill patternType="solid">
        <fgColor rgb="FFFFFFCC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E2E8F0"/>
        <bgColor rgb="FF1E3A5F"/>
      </patternFill>
    </fill>
    <fill>
      <patternFill patternType="solid">
        <fgColor rgb="FFE2E8F0"/>
        <bgColor rgb="FF0F172A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30">
    <border>
      <left/>
      <right/>
      <top/>
      <bottom/>
      <diagonal/>
    </border>
    <border>
      <left style="thin">
        <color rgb="FF1E293B"/>
      </left>
      <right/>
      <top style="thin">
        <color rgb="FF1E293B"/>
      </top>
      <bottom style="thin">
        <color rgb="FF1E293B"/>
      </bottom>
      <diagonal/>
    </border>
    <border>
      <left/>
      <right/>
      <top/>
      <bottom style="thin">
        <color rgb="FF1E293B"/>
      </bottom>
      <diagonal/>
    </border>
    <border>
      <left style="thin">
        <color rgb="FF1E293B"/>
      </left>
      <right style="thin">
        <color rgb="FF1E293B"/>
      </right>
      <top style="thin">
        <color rgb="FF1E293B"/>
      </top>
      <bottom style="thin">
        <color rgb="FF1E293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1E293B"/>
      </left>
      <right style="thin">
        <color rgb="FF1E293B"/>
      </right>
      <top/>
      <bottom style="thin">
        <color rgb="FF1E293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1E293B"/>
      </right>
      <top style="thin">
        <color rgb="FF1E293B"/>
      </top>
      <bottom style="thin">
        <color rgb="FF1E293B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1" fillId="0" borderId="0"/>
    <xf numFmtId="0" fontId="47" fillId="0" borderId="0"/>
  </cellStyleXfs>
  <cellXfs count="260">
    <xf numFmtId="0" fontId="0" fillId="0" borderId="0" xfId="0"/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177" fontId="4" fillId="4" borderId="2" xfId="0" applyNumberFormat="1" applyFont="1" applyFill="1" applyBorder="1" applyAlignment="1">
      <alignment horizontal="right" vertical="center"/>
    </xf>
    <xf numFmtId="0" fontId="14" fillId="4" borderId="2" xfId="0" applyFont="1" applyFill="1" applyBorder="1" applyAlignment="1">
      <alignment horizontal="right" vertical="center"/>
    </xf>
    <xf numFmtId="0" fontId="14" fillId="5" borderId="2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177" fontId="4" fillId="0" borderId="2" xfId="0" applyNumberFormat="1" applyFont="1" applyBorder="1" applyAlignment="1">
      <alignment horizontal="right" vertical="center"/>
    </xf>
    <xf numFmtId="179" fontId="12" fillId="6" borderId="0" xfId="0" applyNumberFormat="1" applyFont="1" applyFill="1" applyAlignment="1">
      <alignment horizontal="centerContinuous" vertical="center" wrapText="1"/>
    </xf>
    <xf numFmtId="0" fontId="11" fillId="6" borderId="6" xfId="0" applyFont="1" applyFill="1" applyBorder="1" applyAlignment="1">
      <alignment vertical="center"/>
    </xf>
    <xf numFmtId="179" fontId="12" fillId="6" borderId="8" xfId="0" applyNumberFormat="1" applyFont="1" applyFill="1" applyBorder="1" applyAlignment="1">
      <alignment horizontal="centerContinuous" vertical="center" wrapText="1"/>
    </xf>
    <xf numFmtId="0" fontId="13" fillId="6" borderId="10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/>
    </xf>
    <xf numFmtId="0" fontId="13" fillId="6" borderId="12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176" fontId="12" fillId="2" borderId="7" xfId="0" applyNumberFormat="1" applyFont="1" applyFill="1" applyBorder="1" applyAlignment="1">
      <alignment horizontal="centerContinuous" vertical="center" wrapText="1"/>
    </xf>
    <xf numFmtId="176" fontId="12" fillId="2" borderId="8" xfId="0" applyNumberFormat="1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11" fillId="7" borderId="11" xfId="0" applyFont="1" applyFill="1" applyBorder="1" applyAlignment="1">
      <alignment vertical="center"/>
    </xf>
    <xf numFmtId="0" fontId="11" fillId="7" borderId="6" xfId="0" applyFont="1" applyFill="1" applyBorder="1" applyAlignment="1">
      <alignment vertical="center"/>
    </xf>
    <xf numFmtId="176" fontId="12" fillId="7" borderId="0" xfId="0" applyNumberFormat="1" applyFont="1" applyFill="1" applyAlignment="1">
      <alignment horizontal="centerContinuous" vertical="center" wrapText="1"/>
    </xf>
    <xf numFmtId="176" fontId="12" fillId="7" borderId="8" xfId="0" applyNumberFormat="1" applyFont="1" applyFill="1" applyBorder="1" applyAlignment="1">
      <alignment horizontal="centerContinuous" vertical="center" wrapText="1"/>
    </xf>
    <xf numFmtId="0" fontId="13" fillId="7" borderId="12" xfId="0" applyFont="1" applyFill="1" applyBorder="1" applyAlignment="1">
      <alignment vertical="center" wrapText="1"/>
    </xf>
    <xf numFmtId="0" fontId="13" fillId="7" borderId="10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83" fontId="3" fillId="0" borderId="0" xfId="0" applyNumberFormat="1" applyFont="1" applyAlignment="1">
      <alignment horizontal="center" vertical="center"/>
    </xf>
    <xf numFmtId="0" fontId="22" fillId="0" borderId="0" xfId="1" applyFont="1" applyAlignment="1">
      <alignment wrapText="1"/>
    </xf>
    <xf numFmtId="185" fontId="22" fillId="0" borderId="0" xfId="1" applyNumberFormat="1" applyFont="1" applyAlignment="1">
      <alignment wrapText="1"/>
    </xf>
    <xf numFmtId="0" fontId="0" fillId="0" borderId="13" xfId="0" applyBorder="1"/>
    <xf numFmtId="0" fontId="4" fillId="0" borderId="2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28" fillId="0" borderId="12" xfId="0" applyFont="1" applyBorder="1"/>
    <xf numFmtId="0" fontId="26" fillId="0" borderId="13" xfId="0" applyFont="1" applyBorder="1"/>
    <xf numFmtId="0" fontId="25" fillId="0" borderId="13" xfId="1" applyFont="1" applyBorder="1" applyAlignment="1">
      <alignment wrapText="1"/>
    </xf>
    <xf numFmtId="0" fontId="26" fillId="0" borderId="0" xfId="0" applyFont="1"/>
    <xf numFmtId="0" fontId="29" fillId="0" borderId="13" xfId="0" applyFont="1" applyBorder="1"/>
    <xf numFmtId="0" fontId="30" fillId="0" borderId="13" xfId="1" applyFont="1" applyBorder="1" applyAlignment="1">
      <alignment wrapText="1"/>
    </xf>
    <xf numFmtId="180" fontId="23" fillId="0" borderId="12" xfId="1" applyNumberFormat="1" applyFont="1" applyBorder="1" applyAlignment="1">
      <alignment horizontal="left" wrapText="1"/>
    </xf>
    <xf numFmtId="0" fontId="31" fillId="0" borderId="2" xfId="0" applyFont="1" applyBorder="1" applyAlignment="1">
      <alignment horizontal="left" vertical="center" wrapText="1" indent="1"/>
    </xf>
    <xf numFmtId="0" fontId="31" fillId="0" borderId="13" xfId="0" applyFont="1" applyBorder="1" applyAlignment="1">
      <alignment horizontal="left" vertical="center" indent="1"/>
    </xf>
    <xf numFmtId="0" fontId="8" fillId="8" borderId="2" xfId="0" applyFont="1" applyFill="1" applyBorder="1" applyAlignment="1">
      <alignment horizontal="left" vertical="center"/>
    </xf>
    <xf numFmtId="0" fontId="32" fillId="8" borderId="2" xfId="0" applyFont="1" applyFill="1" applyBorder="1" applyAlignment="1">
      <alignment horizontal="left" vertical="center"/>
    </xf>
    <xf numFmtId="180" fontId="32" fillId="8" borderId="2" xfId="0" applyNumberFormat="1" applyFont="1" applyFill="1" applyBorder="1" applyAlignment="1">
      <alignment horizontal="right" vertical="center"/>
    </xf>
    <xf numFmtId="180" fontId="33" fillId="8" borderId="2" xfId="0" applyNumberFormat="1" applyFont="1" applyFill="1" applyBorder="1" applyAlignment="1">
      <alignment horizontal="right" vertical="center"/>
    </xf>
    <xf numFmtId="0" fontId="8" fillId="9" borderId="2" xfId="0" applyFont="1" applyFill="1" applyBorder="1" applyAlignment="1">
      <alignment horizontal="left" vertical="center"/>
    </xf>
    <xf numFmtId="0" fontId="32" fillId="9" borderId="2" xfId="0" applyFont="1" applyFill="1" applyBorder="1" applyAlignment="1">
      <alignment horizontal="left" vertical="center"/>
    </xf>
    <xf numFmtId="0" fontId="8" fillId="8" borderId="13" xfId="0" applyFont="1" applyFill="1" applyBorder="1" applyAlignment="1">
      <alignment horizontal="left" vertical="center"/>
    </xf>
    <xf numFmtId="180" fontId="1" fillId="0" borderId="13" xfId="0" applyNumberFormat="1" applyFont="1" applyBorder="1" applyAlignment="1">
      <alignment horizontal="right" vertical="center"/>
    </xf>
    <xf numFmtId="180" fontId="1" fillId="0" borderId="2" xfId="0" applyNumberFormat="1" applyFont="1" applyBorder="1" applyAlignment="1">
      <alignment horizontal="right" vertical="center"/>
    </xf>
    <xf numFmtId="0" fontId="34" fillId="9" borderId="2" xfId="0" applyFont="1" applyFill="1" applyBorder="1" applyAlignment="1">
      <alignment horizontal="left" vertical="center"/>
    </xf>
    <xf numFmtId="180" fontId="35" fillId="9" borderId="13" xfId="0" applyNumberFormat="1" applyFont="1" applyFill="1" applyBorder="1" applyAlignment="1">
      <alignment horizontal="right" vertical="center"/>
    </xf>
    <xf numFmtId="180" fontId="35" fillId="9" borderId="2" xfId="0" applyNumberFormat="1" applyFont="1" applyFill="1" applyBorder="1" applyAlignment="1">
      <alignment horizontal="right" vertical="center"/>
    </xf>
    <xf numFmtId="180" fontId="1" fillId="0" borderId="13" xfId="1" applyNumberFormat="1" applyFont="1" applyBorder="1" applyAlignment="1">
      <alignment wrapText="1"/>
    </xf>
    <xf numFmtId="0" fontId="36" fillId="0" borderId="0" xfId="0" applyFont="1"/>
    <xf numFmtId="180" fontId="35" fillId="8" borderId="13" xfId="0" applyNumberFormat="1" applyFont="1" applyFill="1" applyBorder="1" applyAlignment="1">
      <alignment horizontal="right" vertical="center"/>
    </xf>
    <xf numFmtId="187" fontId="1" fillId="0" borderId="13" xfId="1" applyNumberFormat="1" applyFont="1" applyBorder="1" applyAlignment="1">
      <alignment wrapText="1"/>
    </xf>
    <xf numFmtId="186" fontId="35" fillId="0" borderId="2" xfId="0" applyNumberFormat="1" applyFont="1" applyBorder="1" applyAlignment="1">
      <alignment horizontal="right" vertical="center"/>
    </xf>
    <xf numFmtId="180" fontId="1" fillId="0" borderId="2" xfId="0" applyNumberFormat="1" applyFont="1" applyBorder="1" applyAlignment="1">
      <alignment horizontal="left" vertical="center"/>
    </xf>
    <xf numFmtId="180" fontId="37" fillId="9" borderId="2" xfId="0" applyNumberFormat="1" applyFont="1" applyFill="1" applyBorder="1" applyAlignment="1">
      <alignment horizontal="left" vertical="center"/>
    </xf>
    <xf numFmtId="180" fontId="1" fillId="9" borderId="2" xfId="0" applyNumberFormat="1" applyFont="1" applyFill="1" applyBorder="1" applyAlignment="1">
      <alignment horizontal="left" vertical="center"/>
    </xf>
    <xf numFmtId="180" fontId="1" fillId="0" borderId="13" xfId="0" applyNumberFormat="1" applyFont="1" applyBorder="1" applyAlignment="1">
      <alignment horizontal="left" vertical="center"/>
    </xf>
    <xf numFmtId="180" fontId="36" fillId="0" borderId="0" xfId="0" applyNumberFormat="1" applyFont="1" applyAlignment="1">
      <alignment horizontal="left"/>
    </xf>
    <xf numFmtId="180" fontId="1" fillId="8" borderId="13" xfId="0" applyNumberFormat="1" applyFont="1" applyFill="1" applyBorder="1" applyAlignment="1">
      <alignment horizontal="left" vertical="center"/>
    </xf>
    <xf numFmtId="184" fontId="1" fillId="0" borderId="13" xfId="1" applyNumberFormat="1" applyFont="1" applyBorder="1" applyAlignment="1">
      <alignment horizontal="left" wrapText="1"/>
    </xf>
    <xf numFmtId="184" fontId="1" fillId="0" borderId="12" xfId="1" applyNumberFormat="1" applyFont="1" applyBorder="1" applyAlignment="1">
      <alignment horizontal="left" wrapText="1"/>
    </xf>
    <xf numFmtId="0" fontId="23" fillId="0" borderId="0" xfId="0" applyFont="1"/>
    <xf numFmtId="0" fontId="25" fillId="0" borderId="0" xfId="0" applyFont="1"/>
    <xf numFmtId="178" fontId="5" fillId="0" borderId="2" xfId="0" applyNumberFormat="1" applyFont="1" applyBorder="1" applyAlignment="1">
      <alignment horizontal="right" vertical="center"/>
    </xf>
    <xf numFmtId="0" fontId="30" fillId="0" borderId="0" xfId="1" applyFont="1" applyAlignment="1">
      <alignment wrapText="1"/>
    </xf>
    <xf numFmtId="180" fontId="32" fillId="8" borderId="12" xfId="0" applyNumberFormat="1" applyFont="1" applyFill="1" applyBorder="1" applyAlignment="1">
      <alignment horizontal="right" vertical="center"/>
    </xf>
    <xf numFmtId="0" fontId="3" fillId="10" borderId="11" xfId="0" applyFont="1" applyFill="1" applyBorder="1"/>
    <xf numFmtId="0" fontId="3" fillId="10" borderId="11" xfId="0" applyFont="1" applyFill="1" applyBorder="1" applyAlignment="1">
      <alignment vertical="top"/>
    </xf>
    <xf numFmtId="183" fontId="3" fillId="10" borderId="11" xfId="0" applyNumberFormat="1" applyFont="1" applyFill="1" applyBorder="1" applyAlignment="1">
      <alignment horizontal="center"/>
    </xf>
    <xf numFmtId="183" fontId="23" fillId="10" borderId="11" xfId="0" applyNumberFormat="1" applyFont="1" applyFill="1" applyBorder="1" applyAlignment="1">
      <alignment horizontal="center" vertical="top" wrapText="1"/>
    </xf>
    <xf numFmtId="0" fontId="3" fillId="10" borderId="12" xfId="0" applyFont="1" applyFill="1" applyBorder="1"/>
    <xf numFmtId="183" fontId="24" fillId="10" borderId="12" xfId="0" applyNumberFormat="1" applyFont="1" applyFill="1" applyBorder="1" applyAlignment="1">
      <alignment horizontal="center"/>
    </xf>
    <xf numFmtId="183" fontId="3" fillId="10" borderId="12" xfId="0" applyNumberFormat="1" applyFont="1" applyFill="1" applyBorder="1" applyAlignment="1">
      <alignment horizontal="center"/>
    </xf>
    <xf numFmtId="0" fontId="8" fillId="0" borderId="1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180" fontId="25" fillId="0" borderId="13" xfId="0" applyNumberFormat="1" applyFont="1" applyBorder="1"/>
    <xf numFmtId="186" fontId="1" fillId="0" borderId="0" xfId="0" applyNumberFormat="1" applyFont="1" applyAlignment="1">
      <alignment horizontal="right" vertical="center"/>
    </xf>
    <xf numFmtId="180" fontId="4" fillId="4" borderId="2" xfId="0" applyNumberFormat="1" applyFont="1" applyFill="1" applyBorder="1" applyAlignment="1">
      <alignment horizontal="right" vertical="center"/>
    </xf>
    <xf numFmtId="180" fontId="4" fillId="5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5" fillId="0" borderId="12" xfId="0" applyFont="1" applyBorder="1"/>
    <xf numFmtId="190" fontId="25" fillId="0" borderId="12" xfId="0" applyNumberFormat="1" applyFont="1" applyBorder="1" applyAlignment="1">
      <alignment horizontal="center"/>
    </xf>
    <xf numFmtId="0" fontId="25" fillId="0" borderId="11" xfId="0" applyFont="1" applyBorder="1"/>
    <xf numFmtId="180" fontId="30" fillId="0" borderId="0" xfId="0" applyNumberFormat="1" applyFont="1"/>
    <xf numFmtId="0" fontId="25" fillId="9" borderId="16" xfId="0" applyFont="1" applyFill="1" applyBorder="1" applyAlignment="1">
      <alignment horizontal="center"/>
    </xf>
    <xf numFmtId="190" fontId="25" fillId="9" borderId="17" xfId="0" applyNumberFormat="1" applyFont="1" applyFill="1" applyBorder="1" applyAlignment="1">
      <alignment horizontal="center"/>
    </xf>
    <xf numFmtId="0" fontId="25" fillId="9" borderId="18" xfId="0" applyFont="1" applyFill="1" applyBorder="1"/>
    <xf numFmtId="180" fontId="25" fillId="9" borderId="18" xfId="0" applyNumberFormat="1" applyFont="1" applyFill="1" applyBorder="1"/>
    <xf numFmtId="182" fontId="5" fillId="8" borderId="18" xfId="0" applyNumberFormat="1" applyFont="1" applyFill="1" applyBorder="1"/>
    <xf numFmtId="0" fontId="25" fillId="9" borderId="4" xfId="0" applyFont="1" applyFill="1" applyBorder="1"/>
    <xf numFmtId="180" fontId="8" fillId="12" borderId="15" xfId="0" applyNumberFormat="1" applyFont="1" applyFill="1" applyBorder="1" applyAlignment="1">
      <alignment vertical="center" wrapText="1"/>
    </xf>
    <xf numFmtId="0" fontId="8" fillId="11" borderId="2" xfId="0" applyFont="1" applyFill="1" applyBorder="1" applyAlignment="1">
      <alignment horizontal="left" vertical="center" wrapText="1"/>
    </xf>
    <xf numFmtId="180" fontId="8" fillId="11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77" fontId="4" fillId="0" borderId="0" xfId="0" applyNumberFormat="1" applyFont="1" applyAlignment="1">
      <alignment horizontal="right" vertical="center"/>
    </xf>
    <xf numFmtId="0" fontId="3" fillId="14" borderId="12" xfId="0" applyFont="1" applyFill="1" applyBorder="1" applyAlignment="1">
      <alignment vertical="center"/>
    </xf>
    <xf numFmtId="0" fontId="0" fillId="14" borderId="12" xfId="0" applyFill="1" applyBorder="1"/>
    <xf numFmtId="0" fontId="25" fillId="14" borderId="12" xfId="0" applyFont="1" applyFill="1" applyBorder="1"/>
    <xf numFmtId="0" fontId="39" fillId="14" borderId="12" xfId="0" applyFont="1" applyFill="1" applyBorder="1" applyAlignment="1">
      <alignment vertical="center"/>
    </xf>
    <xf numFmtId="0" fontId="3" fillId="14" borderId="2" xfId="0" applyFont="1" applyFill="1" applyBorder="1" applyAlignment="1">
      <alignment vertical="center"/>
    </xf>
    <xf numFmtId="0" fontId="39" fillId="14" borderId="2" xfId="0" applyFont="1" applyFill="1" applyBorder="1" applyAlignment="1">
      <alignment vertical="center"/>
    </xf>
    <xf numFmtId="0" fontId="3" fillId="14" borderId="0" xfId="0" applyFont="1" applyFill="1" applyAlignment="1">
      <alignment vertical="center"/>
    </xf>
    <xf numFmtId="0" fontId="25" fillId="0" borderId="5" xfId="0" applyFont="1" applyBorder="1"/>
    <xf numFmtId="0" fontId="25" fillId="0" borderId="6" xfId="0" applyFont="1" applyBorder="1"/>
    <xf numFmtId="0" fontId="25" fillId="0" borderId="9" xfId="0" applyFont="1" applyBorder="1"/>
    <xf numFmtId="190" fontId="25" fillId="0" borderId="10" xfId="0" applyNumberFormat="1" applyFont="1" applyBorder="1" applyAlignment="1">
      <alignment horizontal="center"/>
    </xf>
    <xf numFmtId="0" fontId="25" fillId="11" borderId="7" xfId="0" applyFont="1" applyFill="1" applyBorder="1"/>
    <xf numFmtId="0" fontId="25" fillId="11" borderId="0" xfId="0" applyFont="1" applyFill="1"/>
    <xf numFmtId="9" fontId="4" fillId="0" borderId="0" xfId="0" applyNumberFormat="1" applyFont="1"/>
    <xf numFmtId="9" fontId="4" fillId="0" borderId="8" xfId="0" applyNumberFormat="1" applyFont="1" applyBorder="1"/>
    <xf numFmtId="0" fontId="25" fillId="0" borderId="7" xfId="0" applyFont="1" applyBorder="1"/>
    <xf numFmtId="180" fontId="4" fillId="5" borderId="0" xfId="0" applyNumberFormat="1" applyFont="1" applyFill="1" applyAlignment="1">
      <alignment horizontal="right" vertical="center" wrapText="1"/>
    </xf>
    <xf numFmtId="180" fontId="25" fillId="0" borderId="0" xfId="0" applyNumberFormat="1" applyFont="1"/>
    <xf numFmtId="180" fontId="25" fillId="0" borderId="8" xfId="0" applyNumberFormat="1" applyFont="1" applyBorder="1"/>
    <xf numFmtId="180" fontId="25" fillId="11" borderId="0" xfId="0" applyNumberFormat="1" applyFont="1" applyFill="1"/>
    <xf numFmtId="180" fontId="25" fillId="11" borderId="8" xfId="0" applyNumberFormat="1" applyFont="1" applyFill="1" applyBorder="1"/>
    <xf numFmtId="182" fontId="25" fillId="11" borderId="0" xfId="0" applyNumberFormat="1" applyFont="1" applyFill="1"/>
    <xf numFmtId="182" fontId="25" fillId="11" borderId="8" xfId="0" applyNumberFormat="1" applyFont="1" applyFill="1" applyBorder="1"/>
    <xf numFmtId="0" fontId="25" fillId="0" borderId="19" xfId="0" applyFont="1" applyBorder="1"/>
    <xf numFmtId="180" fontId="25" fillId="0" borderId="20" xfId="0" applyNumberFormat="1" applyFont="1" applyBorder="1"/>
    <xf numFmtId="0" fontId="30" fillId="11" borderId="19" xfId="0" applyFont="1" applyFill="1" applyBorder="1"/>
    <xf numFmtId="0" fontId="8" fillId="12" borderId="13" xfId="0" applyFont="1" applyFill="1" applyBorder="1" applyAlignment="1">
      <alignment horizontal="left" vertical="center" wrapText="1"/>
    </xf>
    <xf numFmtId="0" fontId="0" fillId="14" borderId="0" xfId="0" applyFill="1"/>
    <xf numFmtId="0" fontId="39" fillId="14" borderId="0" xfId="0" applyFont="1" applyFill="1" applyAlignment="1">
      <alignment vertical="center"/>
    </xf>
    <xf numFmtId="0" fontId="40" fillId="14" borderId="0" xfId="0" applyFont="1" applyFill="1"/>
    <xf numFmtId="183" fontId="39" fillId="14" borderId="0" xfId="0" applyNumberFormat="1" applyFont="1" applyFill="1" applyAlignment="1">
      <alignment horizontal="center" vertical="center"/>
    </xf>
    <xf numFmtId="0" fontId="39" fillId="14" borderId="11" xfId="0" applyFont="1" applyFill="1" applyBorder="1"/>
    <xf numFmtId="0" fontId="39" fillId="14" borderId="0" xfId="1" applyFont="1" applyFill="1" applyAlignment="1">
      <alignment wrapText="1"/>
    </xf>
    <xf numFmtId="189" fontId="1" fillId="0" borderId="13" xfId="0" applyNumberFormat="1" applyFont="1" applyBorder="1" applyAlignment="1">
      <alignment horizontal="right" vertical="center"/>
    </xf>
    <xf numFmtId="180" fontId="4" fillId="0" borderId="13" xfId="0" applyNumberFormat="1" applyFont="1" applyBorder="1" applyAlignment="1">
      <alignment horizontal="right" vertical="center"/>
    </xf>
    <xf numFmtId="180" fontId="8" fillId="0" borderId="13" xfId="0" applyNumberFormat="1" applyFont="1" applyBorder="1" applyAlignment="1">
      <alignment horizontal="right" vertical="center"/>
    </xf>
    <xf numFmtId="177" fontId="0" fillId="0" borderId="13" xfId="0" applyNumberFormat="1" applyBorder="1" applyAlignment="1">
      <alignment horizontal="right" vertical="center"/>
    </xf>
    <xf numFmtId="0" fontId="30" fillId="0" borderId="0" xfId="0" applyFont="1"/>
    <xf numFmtId="0" fontId="35" fillId="15" borderId="14" xfId="0" applyFont="1" applyFill="1" applyBorder="1" applyAlignment="1">
      <alignment horizontal="center" vertical="center" wrapText="1"/>
    </xf>
    <xf numFmtId="0" fontId="35" fillId="15" borderId="3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35" fillId="0" borderId="0" xfId="0" applyFont="1"/>
    <xf numFmtId="0" fontId="27" fillId="0" borderId="0" xfId="0" applyFont="1" applyAlignment="1">
      <alignment vertical="center"/>
    </xf>
    <xf numFmtId="0" fontId="41" fillId="0" borderId="0" xfId="0" applyFont="1"/>
    <xf numFmtId="0" fontId="42" fillId="0" borderId="0" xfId="0" applyFont="1"/>
    <xf numFmtId="0" fontId="39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3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80" fontId="43" fillId="0" borderId="23" xfId="0" applyNumberFormat="1" applyFont="1" applyBorder="1" applyAlignment="1">
      <alignment horizontal="right" vertical="center"/>
    </xf>
    <xf numFmtId="177" fontId="43" fillId="0" borderId="23" xfId="0" applyNumberFormat="1" applyFont="1" applyBorder="1" applyAlignment="1">
      <alignment horizontal="right" vertical="center"/>
    </xf>
    <xf numFmtId="186" fontId="43" fillId="0" borderId="23" xfId="0" applyNumberFormat="1" applyFont="1" applyBorder="1" applyAlignment="1">
      <alignment horizontal="right" vertical="center"/>
    </xf>
    <xf numFmtId="180" fontId="43" fillId="0" borderId="22" xfId="0" applyNumberFormat="1" applyFont="1" applyBorder="1"/>
    <xf numFmtId="0" fontId="35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188" fontId="1" fillId="0" borderId="0" xfId="0" applyNumberFormat="1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88" fontId="4" fillId="0" borderId="0" xfId="0" applyNumberFormat="1" applyFont="1" applyAlignment="1">
      <alignment horizontal="right" vertical="center"/>
    </xf>
    <xf numFmtId="176" fontId="5" fillId="13" borderId="23" xfId="0" applyNumberFormat="1" applyFont="1" applyFill="1" applyBorder="1" applyAlignment="1">
      <alignment horizontal="right" vertical="center"/>
    </xf>
    <xf numFmtId="181" fontId="5" fillId="13" borderId="22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25" fillId="0" borderId="0" xfId="1" applyFont="1" applyAlignment="1">
      <alignment wrapText="1"/>
    </xf>
    <xf numFmtId="180" fontId="4" fillId="0" borderId="23" xfId="0" applyNumberFormat="1" applyFont="1" applyBorder="1" applyAlignment="1">
      <alignment vertical="center" wrapText="1"/>
    </xf>
    <xf numFmtId="180" fontId="4" fillId="0" borderId="24" xfId="0" applyNumberFormat="1" applyFont="1" applyBorder="1" applyAlignment="1">
      <alignment vertical="center" wrapText="1"/>
    </xf>
    <xf numFmtId="187" fontId="4" fillId="0" borderId="23" xfId="0" applyNumberFormat="1" applyFont="1" applyBorder="1" applyAlignment="1">
      <alignment vertical="center" wrapText="1"/>
    </xf>
    <xf numFmtId="186" fontId="4" fillId="0" borderId="22" xfId="0" applyNumberFormat="1" applyFont="1" applyBorder="1" applyAlignment="1">
      <alignment horizontal="right" vertical="center"/>
    </xf>
    <xf numFmtId="186" fontId="4" fillId="0" borderId="23" xfId="0" applyNumberFormat="1" applyFont="1" applyBorder="1" applyAlignment="1">
      <alignment horizontal="right" vertical="center"/>
    </xf>
    <xf numFmtId="0" fontId="4" fillId="5" borderId="12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180" fontId="5" fillId="13" borderId="25" xfId="0" applyNumberFormat="1" applyFont="1" applyFill="1" applyBorder="1" applyAlignment="1">
      <alignment horizontal="right" vertical="center"/>
    </xf>
    <xf numFmtId="180" fontId="5" fillId="13" borderId="24" xfId="0" applyNumberFormat="1" applyFont="1" applyFill="1" applyBorder="1" applyAlignment="1">
      <alignment horizontal="right" vertical="center"/>
    </xf>
    <xf numFmtId="188" fontId="5" fillId="13" borderId="22" xfId="0" applyNumberFormat="1" applyFont="1" applyFill="1" applyBorder="1" applyAlignment="1">
      <alignment horizontal="right" vertical="center"/>
    </xf>
    <xf numFmtId="188" fontId="5" fillId="13" borderId="23" xfId="0" applyNumberFormat="1" applyFont="1" applyFill="1" applyBorder="1" applyAlignment="1">
      <alignment horizontal="right" vertical="center"/>
    </xf>
    <xf numFmtId="0" fontId="23" fillId="5" borderId="12" xfId="0" applyFont="1" applyFill="1" applyBorder="1" applyAlignment="1">
      <alignment horizontal="left" vertical="center" wrapText="1"/>
    </xf>
    <xf numFmtId="186" fontId="1" fillId="0" borderId="12" xfId="0" applyNumberFormat="1" applyFont="1" applyBorder="1" applyAlignment="1">
      <alignment horizontal="right" vertical="center"/>
    </xf>
    <xf numFmtId="180" fontId="4" fillId="0" borderId="0" xfId="0" applyNumberFormat="1" applyFont="1" applyAlignment="1">
      <alignment horizontal="right" vertical="center"/>
    </xf>
    <xf numFmtId="178" fontId="5" fillId="14" borderId="0" xfId="0" applyNumberFormat="1" applyFont="1" applyFill="1" applyAlignment="1">
      <alignment horizontal="right" vertical="center"/>
    </xf>
    <xf numFmtId="0" fontId="6" fillId="14" borderId="0" xfId="0" applyFont="1" applyFill="1" applyAlignment="1">
      <alignment horizontal="left" vertical="center" wrapText="1"/>
    </xf>
    <xf numFmtId="177" fontId="5" fillId="13" borderId="22" xfId="0" applyNumberFormat="1" applyFont="1" applyFill="1" applyBorder="1" applyAlignment="1">
      <alignment horizontal="right" vertical="center"/>
    </xf>
    <xf numFmtId="177" fontId="5" fillId="13" borderId="23" xfId="0" applyNumberFormat="1" applyFont="1" applyFill="1" applyBorder="1" applyAlignment="1">
      <alignment horizontal="right" vertical="center"/>
    </xf>
    <xf numFmtId="189" fontId="1" fillId="0" borderId="2" xfId="0" applyNumberFormat="1" applyFont="1" applyBorder="1" applyAlignment="1">
      <alignment horizontal="right" vertical="center"/>
    </xf>
    <xf numFmtId="180" fontId="4" fillId="0" borderId="2" xfId="0" applyNumberFormat="1" applyFont="1" applyBorder="1" applyAlignment="1">
      <alignment horizontal="right" vertical="center"/>
    </xf>
    <xf numFmtId="180" fontId="8" fillId="0" borderId="2" xfId="0" applyNumberFormat="1" applyFon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189" fontId="1" fillId="0" borderId="0" xfId="0" applyNumberFormat="1" applyFont="1" applyAlignment="1">
      <alignment horizontal="right" vertical="center"/>
    </xf>
    <xf numFmtId="180" fontId="8" fillId="0" borderId="0" xfId="0" applyNumberFormat="1" applyFon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35" fillId="15" borderId="12" xfId="0" applyFont="1" applyFill="1" applyBorder="1" applyAlignment="1">
      <alignment horizontal="center" vertical="center" wrapText="1"/>
    </xf>
    <xf numFmtId="0" fontId="35" fillId="11" borderId="12" xfId="0" applyFont="1" applyFill="1" applyBorder="1" applyAlignment="1">
      <alignment horizontal="center" vertical="center" wrapText="1"/>
    </xf>
    <xf numFmtId="0" fontId="35" fillId="15" borderId="13" xfId="0" applyFont="1" applyFill="1" applyBorder="1" applyAlignment="1">
      <alignment horizontal="center" vertical="center" wrapText="1"/>
    </xf>
    <xf numFmtId="0" fontId="44" fillId="14" borderId="0" xfId="0" applyFont="1" applyFill="1" applyAlignment="1">
      <alignment vertical="center"/>
    </xf>
    <xf numFmtId="0" fontId="20" fillId="16" borderId="0" xfId="0" applyFont="1" applyFill="1" applyAlignment="1">
      <alignment vertical="center"/>
    </xf>
    <xf numFmtId="0" fontId="18" fillId="16" borderId="0" xfId="0" applyFont="1" applyFill="1" applyAlignment="1">
      <alignment vertical="center"/>
    </xf>
    <xf numFmtId="0" fontId="2" fillId="16" borderId="0" xfId="0" applyFont="1" applyFill="1" applyAlignment="1">
      <alignment vertical="center"/>
    </xf>
    <xf numFmtId="0" fontId="45" fillId="0" borderId="0" xfId="0" applyFont="1" applyAlignment="1">
      <alignment vertical="center"/>
    </xf>
    <xf numFmtId="0" fontId="44" fillId="14" borderId="2" xfId="0" applyFont="1" applyFill="1" applyBorder="1" applyAlignment="1">
      <alignment vertical="center"/>
    </xf>
    <xf numFmtId="0" fontId="20" fillId="11" borderId="0" xfId="0" applyFont="1" applyFill="1" applyAlignment="1">
      <alignment vertical="center"/>
    </xf>
    <xf numFmtId="0" fontId="2" fillId="11" borderId="0" xfId="0" applyFont="1" applyFill="1" applyAlignment="1">
      <alignment vertical="center"/>
    </xf>
    <xf numFmtId="0" fontId="3" fillId="11" borderId="0" xfId="0" applyFont="1" applyFill="1" applyAlignment="1">
      <alignment vertical="center"/>
    </xf>
    <xf numFmtId="0" fontId="0" fillId="11" borderId="0" xfId="0" applyFill="1"/>
    <xf numFmtId="183" fontId="3" fillId="11" borderId="0" xfId="0" applyNumberFormat="1" applyFont="1" applyFill="1" applyAlignment="1">
      <alignment horizontal="center" vertical="center"/>
    </xf>
    <xf numFmtId="0" fontId="26" fillId="11" borderId="0" xfId="0" applyFont="1" applyFill="1"/>
    <xf numFmtId="0" fontId="47" fillId="0" borderId="0" xfId="2"/>
    <xf numFmtId="181" fontId="1" fillId="0" borderId="12" xfId="1" applyNumberFormat="1" applyFont="1" applyBorder="1" applyAlignment="1">
      <alignment wrapText="1"/>
    </xf>
    <xf numFmtId="181" fontId="1" fillId="0" borderId="13" xfId="1" applyNumberFormat="1" applyFont="1" applyBorder="1" applyAlignment="1">
      <alignment wrapText="1"/>
    </xf>
    <xf numFmtId="0" fontId="5" fillId="13" borderId="23" xfId="0" applyFont="1" applyFill="1" applyBorder="1"/>
    <xf numFmtId="0" fontId="5" fillId="13" borderId="22" xfId="0" applyFont="1" applyFill="1" applyBorder="1"/>
    <xf numFmtId="0" fontId="48" fillId="16" borderId="0" xfId="0" applyFont="1" applyFill="1" applyAlignment="1">
      <alignment vertical="center"/>
    </xf>
    <xf numFmtId="0" fontId="49" fillId="16" borderId="0" xfId="0" applyFont="1" applyFill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180" fontId="8" fillId="0" borderId="13" xfId="1" applyNumberFormat="1" applyFont="1" applyBorder="1" applyAlignment="1">
      <alignment wrapText="1"/>
    </xf>
    <xf numFmtId="3" fontId="36" fillId="0" borderId="0" xfId="0" applyNumberFormat="1" applyFont="1"/>
    <xf numFmtId="3" fontId="50" fillId="0" borderId="13" xfId="0" applyNumberFormat="1" applyFont="1" applyBorder="1"/>
    <xf numFmtId="187" fontId="0" fillId="0" borderId="0" xfId="0" applyNumberFormat="1"/>
    <xf numFmtId="0" fontId="51" fillId="0" borderId="0" xfId="0" applyFont="1"/>
    <xf numFmtId="0" fontId="52" fillId="0" borderId="0" xfId="0" applyFont="1"/>
    <xf numFmtId="180" fontId="4" fillId="5" borderId="11" xfId="0" applyNumberFormat="1" applyFont="1" applyFill="1" applyBorder="1" applyAlignment="1">
      <alignment horizontal="right" vertical="center" wrapText="1"/>
    </xf>
    <xf numFmtId="180" fontId="25" fillId="9" borderId="16" xfId="0" applyNumberFormat="1" applyFont="1" applyFill="1" applyBorder="1"/>
    <xf numFmtId="180" fontId="25" fillId="0" borderId="11" xfId="0" applyNumberFormat="1" applyFont="1" applyBorder="1"/>
    <xf numFmtId="180" fontId="25" fillId="0" borderId="6" xfId="0" applyNumberFormat="1" applyFont="1" applyBorder="1"/>
    <xf numFmtId="0" fontId="52" fillId="0" borderId="26" xfId="0" applyFont="1" applyBorder="1"/>
    <xf numFmtId="0" fontId="52" fillId="17" borderId="11" xfId="0" applyFont="1" applyFill="1" applyBorder="1" applyAlignment="1">
      <alignment horizontal="left" vertical="center" wrapText="1"/>
    </xf>
    <xf numFmtId="180" fontId="52" fillId="17" borderId="11" xfId="0" applyNumberFormat="1" applyFont="1" applyFill="1" applyBorder="1" applyAlignment="1">
      <alignment horizontal="right" vertical="center" wrapText="1"/>
    </xf>
    <xf numFmtId="180" fontId="52" fillId="18" borderId="27" xfId="0" applyNumberFormat="1" applyFont="1" applyFill="1" applyBorder="1"/>
    <xf numFmtId="180" fontId="52" fillId="0" borderId="11" xfId="0" applyNumberFormat="1" applyFont="1" applyBorder="1"/>
    <xf numFmtId="180" fontId="52" fillId="0" borderId="6" xfId="0" applyNumberFormat="1" applyFont="1" applyBorder="1"/>
    <xf numFmtId="180" fontId="25" fillId="11" borderId="28" xfId="0" applyNumberFormat="1" applyFont="1" applyFill="1" applyBorder="1"/>
    <xf numFmtId="180" fontId="25" fillId="0" borderId="29" xfId="0" applyNumberFormat="1" applyFont="1" applyBorder="1"/>
    <xf numFmtId="180" fontId="25" fillId="0" borderId="7" xfId="0" applyNumberFormat="1" applyFont="1" applyBorder="1"/>
    <xf numFmtId="180" fontId="25" fillId="0" borderId="5" xfId="0" applyNumberFormat="1" applyFont="1" applyBorder="1"/>
    <xf numFmtId="0" fontId="6" fillId="0" borderId="2" xfId="0" applyFont="1" applyBorder="1" applyAlignment="1">
      <alignment horizontal="left" vertical="center"/>
    </xf>
    <xf numFmtId="180" fontId="53" fillId="9" borderId="18" xfId="0" applyNumberFormat="1" applyFont="1" applyFill="1" applyBorder="1"/>
    <xf numFmtId="0" fontId="4" fillId="0" borderId="2" xfId="0" applyFont="1" applyFill="1" applyBorder="1" applyAlignment="1">
      <alignment horizontal="left" vertical="center" wrapText="1"/>
    </xf>
    <xf numFmtId="180" fontId="5" fillId="13" borderId="11" xfId="0" applyNumberFormat="1" applyFont="1" applyFill="1" applyBorder="1"/>
  </cellXfs>
  <cellStyles count="3">
    <cellStyle name="Normal" xfId="1" xr:uid="{269EB9A4-921D-4EB1-91BB-8DDB53AEE798}"/>
    <cellStyle name="標準" xfId="0" builtinId="0"/>
    <cellStyle name="標準 2" xfId="2" xr:uid="{389B020F-1882-4010-A88A-46193C30BCD3}"/>
  </cellStyles>
  <dxfs count="10"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059669"/>
        <name val="Arial"/>
        <charset val="1"/>
      </font>
      <fill>
        <patternFill>
          <bgColor rgb="FFD1FAE5"/>
        </patternFill>
      </fill>
    </dxf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059669"/>
        <name val="Arial"/>
        <charset val="1"/>
      </font>
      <fill>
        <patternFill>
          <bgColor rgb="FFD1FAE5"/>
        </patternFill>
      </fill>
    </dxf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059669"/>
        <name val="Arial"/>
        <charset val="1"/>
      </font>
      <fill>
        <patternFill>
          <bgColor rgb="FFD1FAE5"/>
        </patternFill>
      </fill>
    </dxf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059669"/>
        <name val="Arial"/>
        <charset val="1"/>
      </font>
      <fill>
        <patternFill>
          <bgColor rgb="FFD1FAE5"/>
        </patternFill>
      </fill>
    </dxf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059669"/>
        <name val="Arial"/>
        <charset val="1"/>
      </font>
      <fill>
        <patternFill>
          <bgColor rgb="FFD1FAE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14532D"/>
      <rgbColor rgb="FF000080"/>
      <rgbColor rgb="FFB8952A"/>
      <rgbColor rgb="FF800080"/>
      <rgbColor rgb="FF059669"/>
      <rgbColor rgb="FFF3E8FF"/>
      <rgbColor rgb="FF475569"/>
      <rgbColor rgb="FF9999FF"/>
      <rgbColor rgb="FF7C3AED"/>
      <rgbColor rgb="FFFEF9C3"/>
      <rgbColor rgb="FFE0F2FE"/>
      <rgbColor rgb="FF660066"/>
      <rgbColor rgb="FFFF8080"/>
      <rgbColor rgb="FF0369A1"/>
      <rgbColor rgb="FFE2E8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9FF"/>
      <rgbColor rgb="FFD1FAE5"/>
      <rgbColor rgb="FFFEF3C7"/>
      <rgbColor rgb="FFF0F4F8"/>
      <rgbColor rgb="FFFEF2F2"/>
      <rgbColor rgb="FFEFF6FF"/>
      <rgbColor rgb="FFFEE2E2"/>
      <rgbColor rgb="FF2563EB"/>
      <rgbColor rgb="FF33CCCC"/>
      <rgbColor rgb="FF99CC00"/>
      <rgbColor rgb="FFFFCC00"/>
      <rgbColor rgb="FFF59E0B"/>
      <rgbColor rgb="FFFF6600"/>
      <rgbColor rgb="FF64748B"/>
      <rgbColor rgb="FF94A3B8"/>
      <rgbColor rgb="FF1E3A5F"/>
      <rgbColor rgb="FF16A34A"/>
      <rgbColor rgb="FF0E1E3A"/>
      <rgbColor rgb="FF0F172A"/>
      <rgbColor rgb="FFB45309"/>
      <rgbColor rgb="FF993366"/>
      <rgbColor rgb="FF334155"/>
      <rgbColor rgb="FF1E29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2E8F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E1E3A"/>
  </sheetPr>
  <dimension ref="A1:F31"/>
  <sheetViews>
    <sheetView showGridLines="0" tabSelected="1" zoomScaleNormal="100" workbookViewId="0"/>
  </sheetViews>
  <sheetFormatPr defaultColWidth="0" defaultRowHeight="15" x14ac:dyDescent="0.25"/>
  <cols>
    <col min="1" max="1" width="37.140625" customWidth="1"/>
    <col min="2" max="6" width="25.7109375" customWidth="1"/>
    <col min="7" max="16384" width="8.7109375" hidden="1"/>
  </cols>
  <sheetData>
    <row r="1" spans="1:6" ht="21.75" customHeight="1" x14ac:dyDescent="0.25">
      <c r="A1" s="229" t="str">
        <f>$B$4&amp;" "&amp;$B$5</f>
        <v>Sumitomo Corporation 8053.T</v>
      </c>
      <c r="B1" s="214"/>
      <c r="C1" s="214"/>
      <c r="D1" s="214"/>
      <c r="E1" s="214"/>
      <c r="F1" s="214"/>
    </row>
    <row r="2" spans="1:6" ht="21.75" customHeight="1" x14ac:dyDescent="0.25">
      <c r="A2" s="230" t="s">
        <v>148</v>
      </c>
      <c r="B2" s="215"/>
      <c r="C2" s="215"/>
      <c r="D2" s="215"/>
      <c r="E2" s="215"/>
      <c r="F2" s="215"/>
    </row>
    <row r="4" spans="1:6" x14ac:dyDescent="0.25">
      <c r="A4" s="73" t="s">
        <v>146</v>
      </c>
      <c r="B4" s="227" t="s">
        <v>302</v>
      </c>
    </row>
    <row r="5" spans="1:6" x14ac:dyDescent="0.25">
      <c r="A5" s="73" t="s">
        <v>147</v>
      </c>
      <c r="B5" s="228" t="s">
        <v>303</v>
      </c>
    </row>
    <row r="7" spans="1:6" ht="21.75" customHeight="1" x14ac:dyDescent="0.25">
      <c r="A7" s="212" t="s">
        <v>139</v>
      </c>
      <c r="B7" s="212"/>
      <c r="C7" s="212"/>
      <c r="D7" s="212"/>
      <c r="E7" s="212"/>
      <c r="F7" s="212"/>
    </row>
    <row r="8" spans="1:6" ht="18" customHeight="1" x14ac:dyDescent="0.25">
      <c r="A8" s="16" t="s">
        <v>24</v>
      </c>
      <c r="B8" s="17"/>
      <c r="C8" s="14" t="s">
        <v>25</v>
      </c>
      <c r="D8" s="11"/>
      <c r="E8" s="23" t="s">
        <v>26</v>
      </c>
      <c r="F8" s="24"/>
    </row>
    <row r="9" spans="1:6" ht="37.5" customHeight="1" x14ac:dyDescent="0.25">
      <c r="A9" s="18">
        <f>CurrentPrice</f>
        <v>7099</v>
      </c>
      <c r="B9" s="19"/>
      <c r="C9" s="10">
        <f>ForwardPER</f>
        <v>13.439195777777776</v>
      </c>
      <c r="D9" s="12"/>
      <c r="E9" s="25">
        <f>'③ DCF'!C9</f>
        <v>7641.966456794913</v>
      </c>
      <c r="F9" s="26"/>
    </row>
    <row r="10" spans="1:6" ht="18" customHeight="1" x14ac:dyDescent="0.25">
      <c r="A10" s="20" t="s">
        <v>307</v>
      </c>
      <c r="B10" s="21"/>
      <c r="C10" s="15" t="s">
        <v>39</v>
      </c>
      <c r="D10" s="13"/>
      <c r="E10" s="27"/>
      <c r="F10" s="28"/>
    </row>
    <row r="11" spans="1:6" x14ac:dyDescent="0.25">
      <c r="F11" s="216"/>
    </row>
    <row r="12" spans="1:6" x14ac:dyDescent="0.25">
      <c r="A12" s="210" t="s">
        <v>27</v>
      </c>
      <c r="B12" s="210" t="s">
        <v>12</v>
      </c>
      <c r="C12" s="210" t="s">
        <v>153</v>
      </c>
      <c r="D12" s="210" t="s">
        <v>14</v>
      </c>
      <c r="E12" s="89"/>
      <c r="F12" s="89"/>
    </row>
    <row r="13" spans="1:6" x14ac:dyDescent="0.25">
      <c r="A13" s="116" t="s">
        <v>135</v>
      </c>
      <c r="B13" s="196">
        <f>'② Multiples'!$D$7</f>
        <v>8979.9272215048732</v>
      </c>
      <c r="C13" s="196">
        <f>B13-CurrentPrice</f>
        <v>1880.9272215048732</v>
      </c>
      <c r="D13" s="207">
        <f>C13/CurrentPrice</f>
        <v>0.26495664480981451</v>
      </c>
      <c r="E13" s="98"/>
      <c r="F13" s="208"/>
    </row>
    <row r="14" spans="1:6" x14ac:dyDescent="0.25">
      <c r="A14" s="116" t="s">
        <v>136</v>
      </c>
      <c r="B14" s="196">
        <f>'② Multiples'!D13</f>
        <v>7761.7342746465883</v>
      </c>
      <c r="C14" s="196">
        <f>B14-CurrentPrice</f>
        <v>662.73427464658835</v>
      </c>
      <c r="D14" s="207">
        <f>C14/CurrentPrice</f>
        <v>9.3356004317028923E-2</v>
      </c>
      <c r="E14" s="98"/>
      <c r="F14" s="208"/>
    </row>
    <row r="15" spans="1:6" x14ac:dyDescent="0.25">
      <c r="A15" s="116" t="s">
        <v>137</v>
      </c>
      <c r="B15" s="206">
        <f>'③ DCF'!C9</f>
        <v>7641.966456794913</v>
      </c>
      <c r="C15" s="196">
        <f>B15-CurrentPrice</f>
        <v>542.96645679491303</v>
      </c>
      <c r="D15" s="207">
        <f>C15/CurrentPrice</f>
        <v>7.6484921368490361E-2</v>
      </c>
      <c r="E15" s="98"/>
      <c r="F15" s="208"/>
    </row>
    <row r="16" spans="1:6" x14ac:dyDescent="0.25">
      <c r="A16" s="116" t="s">
        <v>138</v>
      </c>
      <c r="B16" s="196">
        <f>'③ DCF'!D9</f>
        <v>7850.3383864808948</v>
      </c>
      <c r="C16" s="196">
        <f>B16-CurrentPrice</f>
        <v>751.33838648089477</v>
      </c>
      <c r="D16" s="207">
        <f>C16/CurrentPrice</f>
        <v>0.10583721460499997</v>
      </c>
      <c r="E16" s="98"/>
      <c r="F16" s="208"/>
    </row>
    <row r="19" spans="1:6" ht="16.5" x14ac:dyDescent="0.25">
      <c r="A19" s="212" t="s">
        <v>143</v>
      </c>
      <c r="B19" s="212"/>
      <c r="C19" s="212"/>
      <c r="D19" s="212"/>
      <c r="E19" s="217"/>
      <c r="F19" s="217"/>
    </row>
    <row r="20" spans="1:6" x14ac:dyDescent="0.25">
      <c r="A20" s="211" t="s">
        <v>7</v>
      </c>
      <c r="B20" s="211" t="s">
        <v>28</v>
      </c>
      <c r="C20" s="211" t="s">
        <v>29</v>
      </c>
      <c r="D20" s="211" t="s">
        <v>30</v>
      </c>
    </row>
    <row r="21" spans="1:6" x14ac:dyDescent="0.25">
      <c r="A21" s="116" t="s">
        <v>132</v>
      </c>
      <c r="B21" s="196">
        <f>'Results&amp;Guidance'!F20</f>
        <v>600334</v>
      </c>
      <c r="C21" s="206">
        <f>'① Assumptions'!$C$21</f>
        <v>630000</v>
      </c>
      <c r="D21" s="117">
        <f>C21/B21-1</f>
        <v>4.9415825190643803E-2</v>
      </c>
    </row>
    <row r="22" spans="1:6" x14ac:dyDescent="0.25">
      <c r="A22" s="116" t="s">
        <v>133</v>
      </c>
      <c r="B22" s="196">
        <f>'Results&amp;Guidance'!F39</f>
        <v>503.35720154947762</v>
      </c>
      <c r="C22" s="206">
        <f>'① Assumptions'!C24</f>
        <v>528.23101302969837</v>
      </c>
      <c r="D22" s="117">
        <f t="shared" ref="D22:D23" si="0">C22/B22-1</f>
        <v>4.9415825190644025E-2</v>
      </c>
    </row>
    <row r="23" spans="1:6" x14ac:dyDescent="0.25">
      <c r="A23" s="116" t="s">
        <v>134</v>
      </c>
      <c r="B23" s="196">
        <f>'① Assumptions'!C12</f>
        <v>150</v>
      </c>
      <c r="C23" s="206">
        <f>'① Assumptions'!C23</f>
        <v>160</v>
      </c>
      <c r="D23" s="117">
        <f t="shared" si="0"/>
        <v>6.6666666666666652E-2</v>
      </c>
    </row>
    <row r="26" spans="1:6" x14ac:dyDescent="0.25">
      <c r="A26" s="212" t="s">
        <v>31</v>
      </c>
      <c r="B26" s="212"/>
      <c r="C26" s="212"/>
      <c r="D26" s="212"/>
      <c r="E26" s="212"/>
      <c r="F26" s="212"/>
    </row>
    <row r="27" spans="1:6" x14ac:dyDescent="0.25">
      <c r="A27" s="209" t="s">
        <v>32</v>
      </c>
      <c r="B27" s="209" t="s">
        <v>33</v>
      </c>
      <c r="C27" s="209" t="s">
        <v>34</v>
      </c>
      <c r="D27" s="231"/>
      <c r="E27" s="232"/>
      <c r="F27" s="231"/>
    </row>
    <row r="28" spans="1:6" x14ac:dyDescent="0.25">
      <c r="A28" s="258" t="s">
        <v>305</v>
      </c>
      <c r="B28" s="7" t="s">
        <v>306</v>
      </c>
      <c r="C28" s="256" t="s">
        <v>35</v>
      </c>
      <c r="D28" s="231"/>
      <c r="E28" s="232"/>
      <c r="F28" s="231"/>
    </row>
    <row r="29" spans="1:6" x14ac:dyDescent="0.25">
      <c r="A29" s="3" t="s">
        <v>36</v>
      </c>
      <c r="B29" s="6" t="s">
        <v>304</v>
      </c>
      <c r="C29" s="235" t="s">
        <v>37</v>
      </c>
      <c r="D29" s="233"/>
      <c r="E29" s="234"/>
    </row>
    <row r="30" spans="1:6" x14ac:dyDescent="0.25">
      <c r="A30" s="3" t="s">
        <v>173</v>
      </c>
      <c r="B30" s="6" t="s">
        <v>306</v>
      </c>
      <c r="C30" s="235" t="s">
        <v>35</v>
      </c>
      <c r="D30" s="233"/>
      <c r="E30" s="234"/>
    </row>
    <row r="31" spans="1:6" x14ac:dyDescent="0.25">
      <c r="A31" s="8" t="s">
        <v>38</v>
      </c>
      <c r="B31" s="8"/>
      <c r="C31" s="8"/>
      <c r="D31" s="8"/>
      <c r="E31" s="8"/>
      <c r="F31" s="8"/>
    </row>
  </sheetData>
  <phoneticPr fontId="19"/>
  <conditionalFormatting sqref="D13:D16">
    <cfRule type="cellIs" dxfId="9" priority="6" operator="greaterThan">
      <formula>0</formula>
    </cfRule>
    <cfRule type="cellIs" dxfId="8" priority="7" operator="lessThan">
      <formula>0</formula>
    </cfRule>
  </conditionalFormatting>
  <conditionalFormatting sqref="D21:D23">
    <cfRule type="cellIs" dxfId="7" priority="4" operator="greaterThan">
      <formula>0</formula>
    </cfRule>
    <cfRule type="cellIs" dxfId="6" priority="5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10C72-F863-4C7D-8698-5E89E55C3EF3}">
  <dimension ref="A1:B5"/>
  <sheetViews>
    <sheetView workbookViewId="0"/>
  </sheetViews>
  <sheetFormatPr defaultRowHeight="13.5" x14ac:dyDescent="0.15"/>
  <cols>
    <col min="1" max="16384" width="9.140625" style="224"/>
  </cols>
  <sheetData>
    <row r="1" spans="1:2" x14ac:dyDescent="0.15">
      <c r="A1" s="224" t="s">
        <v>293</v>
      </c>
      <c r="B1" s="224" t="s">
        <v>8</v>
      </c>
    </row>
    <row r="2" spans="1:2" x14ac:dyDescent="0.15">
      <c r="A2" s="224" t="s">
        <v>294</v>
      </c>
      <c r="B2" s="224" t="s">
        <v>295</v>
      </c>
    </row>
    <row r="3" spans="1:2" x14ac:dyDescent="0.15">
      <c r="A3" s="224" t="s">
        <v>296</v>
      </c>
      <c r="B3" s="224" t="s">
        <v>297</v>
      </c>
    </row>
    <row r="4" spans="1:2" x14ac:dyDescent="0.15">
      <c r="A4" s="224" t="s">
        <v>298</v>
      </c>
      <c r="B4" s="224" t="s">
        <v>299</v>
      </c>
    </row>
    <row r="5" spans="1:2" x14ac:dyDescent="0.15">
      <c r="A5" s="224" t="s">
        <v>300</v>
      </c>
      <c r="B5" s="224" t="s">
        <v>301</v>
      </c>
    </row>
  </sheetData>
  <phoneticPr fontId="19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634D-FF6C-4127-AECA-84C2C68051C8}">
  <sheetPr>
    <tabColor theme="0" tint="-0.499984740745262"/>
  </sheetPr>
  <dimension ref="A1:XFC43"/>
  <sheetViews>
    <sheetView showGridLines="0" zoomScaleNormal="100" workbookViewId="0">
      <selection activeCell="D8" sqref="D8"/>
    </sheetView>
  </sheetViews>
  <sheetFormatPr defaultColWidth="0" defaultRowHeight="15" x14ac:dyDescent="0.25"/>
  <cols>
    <col min="1" max="1" width="3.140625" customWidth="1"/>
    <col min="2" max="2" width="57.7109375" customWidth="1"/>
    <col min="3" max="6" width="15.7109375" customWidth="1"/>
    <col min="7" max="7" width="71.5703125" bestFit="1" customWidth="1"/>
    <col min="8" max="16383" width="8.7109375" hidden="1"/>
    <col min="16384" max="16384" width="3.140625" hidden="1"/>
  </cols>
  <sheetData>
    <row r="1" spans="1:7" ht="21.75" customHeight="1" x14ac:dyDescent="0.25">
      <c r="A1" s="229" t="str">
        <f>Dashboard!$B$4&amp;" "&amp;Dashboard!$B$5</f>
        <v>Sumitomo Corporation 8053.T</v>
      </c>
      <c r="B1" s="218"/>
      <c r="C1" s="218"/>
      <c r="D1" s="218"/>
      <c r="E1" s="218"/>
      <c r="F1" s="218"/>
      <c r="G1" s="218"/>
    </row>
    <row r="2" spans="1:7" ht="21.75" customHeight="1" x14ac:dyDescent="0.25">
      <c r="A2" s="230" t="s">
        <v>149</v>
      </c>
      <c r="B2" s="219"/>
      <c r="C2" s="219"/>
      <c r="D2" s="219"/>
      <c r="E2" s="219"/>
      <c r="F2" s="219"/>
      <c r="G2" s="219"/>
    </row>
    <row r="3" spans="1:7" x14ac:dyDescent="0.25">
      <c r="A3" s="220"/>
      <c r="B3" s="220"/>
      <c r="C3" s="220"/>
      <c r="D3" s="221"/>
      <c r="E3" s="221"/>
      <c r="F3" s="221"/>
      <c r="G3" s="222"/>
    </row>
    <row r="4" spans="1:7" x14ac:dyDescent="0.25">
      <c r="A4" s="146" t="s">
        <v>90</v>
      </c>
      <c r="B4" s="146"/>
      <c r="C4" s="146"/>
      <c r="D4" s="147"/>
      <c r="E4" s="147"/>
      <c r="F4" s="147"/>
      <c r="G4" s="148"/>
    </row>
    <row r="5" spans="1:7" x14ac:dyDescent="0.25">
      <c r="A5" s="29"/>
      <c r="B5" s="181"/>
      <c r="C5" s="181" t="s">
        <v>43</v>
      </c>
      <c r="D5" s="84" t="s">
        <v>91</v>
      </c>
      <c r="G5" s="30"/>
    </row>
    <row r="6" spans="1:7" x14ac:dyDescent="0.25">
      <c r="A6" s="29"/>
      <c r="B6" s="174" t="s">
        <v>58</v>
      </c>
      <c r="C6" s="174" t="s">
        <v>70</v>
      </c>
      <c r="D6" s="184">
        <f>F34</f>
        <v>5780</v>
      </c>
      <c r="G6" s="30"/>
    </row>
    <row r="7" spans="1:7" x14ac:dyDescent="0.25">
      <c r="A7" s="29"/>
      <c r="B7" s="168" t="s">
        <v>79</v>
      </c>
      <c r="C7" s="168" t="s">
        <v>81</v>
      </c>
      <c r="D7" s="183">
        <f t="shared" ref="D7:D14" si="0">F35</f>
        <v>1192660</v>
      </c>
      <c r="G7" s="30"/>
    </row>
    <row r="8" spans="1:7" x14ac:dyDescent="0.25">
      <c r="A8" s="29"/>
      <c r="B8" s="168" t="s">
        <v>89</v>
      </c>
      <c r="C8" s="116" t="s">
        <v>52</v>
      </c>
      <c r="D8" s="183">
        <f t="shared" si="0"/>
        <v>6893574.7999999998</v>
      </c>
      <c r="G8" s="30"/>
    </row>
    <row r="9" spans="1:7" x14ac:dyDescent="0.25">
      <c r="A9" s="29"/>
      <c r="B9" s="116" t="s">
        <v>95</v>
      </c>
      <c r="C9" s="116" t="s">
        <v>70</v>
      </c>
      <c r="D9" s="183">
        <f t="shared" si="0"/>
        <v>150</v>
      </c>
      <c r="G9" s="30"/>
    </row>
    <row r="10" spans="1:7" x14ac:dyDescent="0.25">
      <c r="A10" s="29"/>
      <c r="B10" s="182" t="s">
        <v>74</v>
      </c>
      <c r="C10" s="182" t="s">
        <v>75</v>
      </c>
      <c r="D10" s="185">
        <f t="shared" si="0"/>
        <v>2.5951557093425604E-2</v>
      </c>
      <c r="G10" s="30"/>
    </row>
    <row r="11" spans="1:7" x14ac:dyDescent="0.25">
      <c r="A11" s="29"/>
      <c r="B11" s="182" t="s">
        <v>55</v>
      </c>
      <c r="C11" s="182" t="s">
        <v>63</v>
      </c>
      <c r="D11" s="183">
        <f t="shared" si="0"/>
        <v>503.35720154947762</v>
      </c>
      <c r="G11" s="30"/>
    </row>
    <row r="12" spans="1:7" x14ac:dyDescent="0.25">
      <c r="A12" s="29"/>
      <c r="B12" s="182" t="s">
        <v>69</v>
      </c>
      <c r="C12" s="182" t="s">
        <v>63</v>
      </c>
      <c r="D12" s="183">
        <f t="shared" si="0"/>
        <v>3880.8671373232942</v>
      </c>
      <c r="G12" s="30"/>
    </row>
    <row r="13" spans="1:7" x14ac:dyDescent="0.25">
      <c r="A13" s="29"/>
      <c r="B13" s="182" t="s">
        <v>60</v>
      </c>
      <c r="C13" s="182" t="s">
        <v>62</v>
      </c>
      <c r="D13" s="187">
        <f t="shared" si="0"/>
        <v>11.482899186119727</v>
      </c>
      <c r="G13" s="30"/>
    </row>
    <row r="14" spans="1:7" x14ac:dyDescent="0.25">
      <c r="A14" s="29"/>
      <c r="B14" s="182" t="s">
        <v>77</v>
      </c>
      <c r="C14" s="182" t="s">
        <v>62</v>
      </c>
      <c r="D14" s="186">
        <f t="shared" si="0"/>
        <v>1.4893578665479832</v>
      </c>
      <c r="G14" s="30"/>
    </row>
    <row r="15" spans="1:7" x14ac:dyDescent="0.25">
      <c r="A15" s="29"/>
      <c r="B15" s="75"/>
      <c r="C15" s="75"/>
      <c r="D15" s="75"/>
      <c r="G15" s="30"/>
    </row>
    <row r="16" spans="1:7" x14ac:dyDescent="0.25">
      <c r="A16" s="149" t="s">
        <v>87</v>
      </c>
      <c r="B16" s="150"/>
      <c r="C16" s="150"/>
      <c r="D16" s="150"/>
      <c r="E16" s="147"/>
      <c r="F16" s="147"/>
      <c r="G16" s="148"/>
    </row>
    <row r="17" spans="1:7" x14ac:dyDescent="0.25">
      <c r="A17" s="77"/>
      <c r="B17" s="78"/>
      <c r="C17" s="78"/>
      <c r="D17" s="79" t="s">
        <v>40</v>
      </c>
      <c r="E17" s="79" t="s">
        <v>41</v>
      </c>
      <c r="F17" s="79" t="s">
        <v>42</v>
      </c>
      <c r="G17" s="80"/>
    </row>
    <row r="18" spans="1:7" ht="30" customHeight="1" x14ac:dyDescent="0.25">
      <c r="A18" s="81"/>
      <c r="B18" s="81"/>
      <c r="C18" s="81" t="s">
        <v>43</v>
      </c>
      <c r="D18" s="82" t="s">
        <v>56</v>
      </c>
      <c r="E18" s="82" t="s">
        <v>56</v>
      </c>
      <c r="F18" s="82" t="s">
        <v>56</v>
      </c>
      <c r="G18" s="83" t="s">
        <v>82</v>
      </c>
    </row>
    <row r="19" spans="1:7" ht="18" customHeight="1" x14ac:dyDescent="0.25">
      <c r="A19" s="47" t="s">
        <v>64</v>
      </c>
      <c r="B19" s="48"/>
      <c r="C19" s="48"/>
      <c r="D19" s="76"/>
      <c r="E19" s="49"/>
      <c r="F19" s="49"/>
      <c r="G19" s="50"/>
    </row>
    <row r="20" spans="1:7" x14ac:dyDescent="0.25">
      <c r="A20" s="1"/>
      <c r="B20" s="1" t="s">
        <v>53</v>
      </c>
      <c r="C20" s="1" t="s">
        <v>44</v>
      </c>
      <c r="D20" s="54">
        <f>PL_CI!B23</f>
        <v>386352</v>
      </c>
      <c r="E20" s="54">
        <f>PL_CI!C23</f>
        <v>561859</v>
      </c>
      <c r="F20" s="54">
        <f>PL_CI!D23</f>
        <v>600334</v>
      </c>
      <c r="G20" s="64"/>
    </row>
    <row r="21" spans="1:7" x14ac:dyDescent="0.25">
      <c r="A21" s="51" t="s">
        <v>65</v>
      </c>
      <c r="B21" s="52"/>
      <c r="C21" s="52"/>
      <c r="D21" s="56"/>
      <c r="E21" s="56"/>
      <c r="F21" s="56"/>
      <c r="G21" s="65"/>
    </row>
    <row r="22" spans="1:7" x14ac:dyDescent="0.25">
      <c r="A22" s="1"/>
      <c r="B22" s="1" t="s">
        <v>49</v>
      </c>
      <c r="C22" s="1" t="s">
        <v>44</v>
      </c>
      <c r="D22" s="55">
        <f>CF!B18</f>
        <v>608850</v>
      </c>
      <c r="E22" s="55">
        <f>CF!C18</f>
        <v>612281</v>
      </c>
      <c r="F22" s="55">
        <f>CF!D18</f>
        <v>813456</v>
      </c>
      <c r="G22" s="64"/>
    </row>
    <row r="23" spans="1:7" x14ac:dyDescent="0.25">
      <c r="A23" s="1"/>
      <c r="B23" s="34" t="s">
        <v>171</v>
      </c>
      <c r="C23" s="1" t="s">
        <v>44</v>
      </c>
      <c r="D23" s="55"/>
      <c r="E23" s="55"/>
      <c r="F23" s="55"/>
      <c r="G23" s="64"/>
    </row>
    <row r="24" spans="1:7" x14ac:dyDescent="0.25">
      <c r="A24" s="1"/>
      <c r="B24" s="1" t="s">
        <v>50</v>
      </c>
      <c r="C24" s="1" t="s">
        <v>44</v>
      </c>
      <c r="D24" s="55">
        <f>CF!B29</f>
        <v>-219210</v>
      </c>
      <c r="E24" s="55">
        <f>CF!C29</f>
        <v>-461386</v>
      </c>
      <c r="F24" s="55">
        <f>CF!D29</f>
        <v>-155892</v>
      </c>
      <c r="G24" s="64"/>
    </row>
    <row r="25" spans="1:7" x14ac:dyDescent="0.25">
      <c r="A25" s="1"/>
      <c r="B25" s="1" t="s">
        <v>51</v>
      </c>
      <c r="C25" s="1" t="s">
        <v>44</v>
      </c>
      <c r="D25" s="55">
        <f>D22+D24</f>
        <v>389640</v>
      </c>
      <c r="E25" s="55">
        <f>E22+E24</f>
        <v>150895</v>
      </c>
      <c r="F25" s="55">
        <f>F22+F24</f>
        <v>657564</v>
      </c>
      <c r="G25" s="64"/>
    </row>
    <row r="26" spans="1:7" x14ac:dyDescent="0.25">
      <c r="A26" s="51" t="s">
        <v>66</v>
      </c>
      <c r="B26" s="51"/>
      <c r="C26" s="51"/>
      <c r="D26" s="57"/>
      <c r="E26" s="58"/>
      <c r="F26" s="58"/>
      <c r="G26" s="66"/>
    </row>
    <row r="27" spans="1:7" x14ac:dyDescent="0.25">
      <c r="A27" s="1"/>
      <c r="B27" s="1" t="s">
        <v>67</v>
      </c>
      <c r="C27" s="1" t="s">
        <v>44</v>
      </c>
      <c r="D27" s="59">
        <f>BS!B24</f>
        <v>11032583</v>
      </c>
      <c r="E27" s="59">
        <f>BS!C24</f>
        <v>11631161</v>
      </c>
      <c r="F27" s="59">
        <f>BS!D24</f>
        <v>13638338</v>
      </c>
      <c r="G27" s="67"/>
    </row>
    <row r="28" spans="1:7" x14ac:dyDescent="0.25">
      <c r="A28" s="33"/>
      <c r="B28" s="46" t="s">
        <v>71</v>
      </c>
      <c r="C28" s="36" t="s">
        <v>52</v>
      </c>
      <c r="D28" s="59">
        <f>BS!B2</f>
        <v>667852</v>
      </c>
      <c r="E28" s="59">
        <f>BS!C2</f>
        <v>570617</v>
      </c>
      <c r="F28" s="59">
        <f>BS!D2</f>
        <v>1005442</v>
      </c>
      <c r="G28" s="67"/>
    </row>
    <row r="29" spans="1:7" x14ac:dyDescent="0.25">
      <c r="A29" s="1"/>
      <c r="B29" s="1" t="s">
        <v>68</v>
      </c>
      <c r="C29" s="1" t="s">
        <v>44</v>
      </c>
      <c r="D29" s="59">
        <f>BS!B52</f>
        <v>4672304</v>
      </c>
      <c r="E29" s="59">
        <f>BS!C52</f>
        <v>4885558</v>
      </c>
      <c r="F29" s="59">
        <f>BS!D52</f>
        <v>4735154</v>
      </c>
      <c r="G29" s="64"/>
    </row>
    <row r="30" spans="1:7" x14ac:dyDescent="0.25">
      <c r="A30" s="1"/>
      <c r="B30" s="45" t="s">
        <v>47</v>
      </c>
      <c r="C30" s="1" t="s">
        <v>44</v>
      </c>
      <c r="D30" s="59">
        <f>BS!B50</f>
        <v>4445494</v>
      </c>
      <c r="E30" s="59">
        <f>BS!C50</f>
        <v>4648462</v>
      </c>
      <c r="F30" s="59">
        <f>BS!D50</f>
        <v>4628555</v>
      </c>
      <c r="G30" s="64"/>
    </row>
    <row r="31" spans="1:7" x14ac:dyDescent="0.25">
      <c r="A31" s="33"/>
      <c r="B31" s="35"/>
      <c r="C31" s="36"/>
      <c r="D31" s="59"/>
      <c r="E31" s="59"/>
      <c r="F31" s="238"/>
      <c r="G31" s="67"/>
    </row>
    <row r="32" spans="1:7" x14ac:dyDescent="0.25">
      <c r="D32" s="60"/>
      <c r="E32" s="60"/>
      <c r="F32" s="237"/>
      <c r="G32" s="68"/>
    </row>
    <row r="33" spans="1:7" x14ac:dyDescent="0.25">
      <c r="A33" s="53" t="s">
        <v>72</v>
      </c>
      <c r="B33" s="53"/>
      <c r="C33" s="53"/>
      <c r="D33" s="61"/>
      <c r="E33" s="61"/>
      <c r="F33" s="61"/>
      <c r="G33" s="69"/>
    </row>
    <row r="34" spans="1:7" x14ac:dyDescent="0.25">
      <c r="A34" s="38"/>
      <c r="B34" s="22" t="s">
        <v>58</v>
      </c>
      <c r="C34" s="22" t="s">
        <v>70</v>
      </c>
      <c r="D34" s="236">
        <v>3652</v>
      </c>
      <c r="E34" s="236">
        <v>3372</v>
      </c>
      <c r="F34" s="236">
        <v>5780</v>
      </c>
      <c r="G34" s="44"/>
    </row>
    <row r="35" spans="1:7" x14ac:dyDescent="0.25">
      <c r="A35" s="37"/>
      <c r="B35" s="35" t="s">
        <v>79</v>
      </c>
      <c r="C35" s="35" t="s">
        <v>81</v>
      </c>
      <c r="D35" s="59">
        <v>1221939</v>
      </c>
      <c r="E35" s="59">
        <v>1210007</v>
      </c>
      <c r="F35" s="59">
        <v>1192660</v>
      </c>
      <c r="G35" s="67"/>
    </row>
    <row r="36" spans="1:7" x14ac:dyDescent="0.25">
      <c r="A36" s="37"/>
      <c r="B36" s="35" t="s">
        <v>89</v>
      </c>
      <c r="C36" s="36" t="s">
        <v>52</v>
      </c>
      <c r="D36" s="59">
        <f>D34*D35/10^3</f>
        <v>4462521.2280000001</v>
      </c>
      <c r="E36" s="59">
        <f t="shared" ref="E36:F36" si="1">E34*E35/10^3</f>
        <v>4080143.6039999998</v>
      </c>
      <c r="F36" s="59">
        <f t="shared" si="1"/>
        <v>6893574.7999999998</v>
      </c>
      <c r="G36" s="67"/>
    </row>
    <row r="37" spans="1:7" x14ac:dyDescent="0.25">
      <c r="A37" s="85"/>
      <c r="B37" s="1" t="s">
        <v>95</v>
      </c>
      <c r="C37" s="1" t="s">
        <v>70</v>
      </c>
      <c r="D37" s="225">
        <v>125</v>
      </c>
      <c r="E37" s="225">
        <v>130</v>
      </c>
      <c r="F37" s="225">
        <v>150</v>
      </c>
      <c r="G37" s="64"/>
    </row>
    <row r="38" spans="1:7" s="41" customFormat="1" ht="14.25" x14ac:dyDescent="0.2">
      <c r="A38" s="39"/>
      <c r="B38" s="40" t="s">
        <v>74</v>
      </c>
      <c r="C38" s="40" t="s">
        <v>75</v>
      </c>
      <c r="D38" s="62">
        <f>D37/D34</f>
        <v>3.4227820372398687E-2</v>
      </c>
      <c r="E38" s="62">
        <f>E37/E34</f>
        <v>3.8552787663107949E-2</v>
      </c>
      <c r="F38" s="62">
        <f>F37/F34</f>
        <v>2.5951557093425604E-2</v>
      </c>
      <c r="G38" s="70"/>
    </row>
    <row r="39" spans="1:7" s="41" customFormat="1" ht="14.25" x14ac:dyDescent="0.2">
      <c r="A39" s="39"/>
      <c r="B39" s="40" t="s">
        <v>55</v>
      </c>
      <c r="C39" s="40" t="s">
        <v>63</v>
      </c>
      <c r="D39" s="226">
        <f>D20*10^3/D35</f>
        <v>316.17944921964192</v>
      </c>
      <c r="E39" s="226">
        <f>E20*10^3/E35</f>
        <v>464.34359470647689</v>
      </c>
      <c r="F39" s="226">
        <f>F20*10^3/F35</f>
        <v>503.35720154947762</v>
      </c>
      <c r="G39" s="70"/>
    </row>
    <row r="40" spans="1:7" s="41" customFormat="1" ht="14.25" x14ac:dyDescent="0.2">
      <c r="A40" s="39"/>
      <c r="B40" s="40" t="s">
        <v>69</v>
      </c>
      <c r="C40" s="40" t="s">
        <v>63</v>
      </c>
      <c r="D40" s="59">
        <f>D30*10^3/D35</f>
        <v>3638.0654026101138</v>
      </c>
      <c r="E40" s="59">
        <f>E30*10^3/E35</f>
        <v>3841.6819076253278</v>
      </c>
      <c r="F40" s="59">
        <f>F30*10^3/F35</f>
        <v>3880.8671373232942</v>
      </c>
      <c r="G40" s="70"/>
    </row>
    <row r="41" spans="1:7" s="41" customFormat="1" x14ac:dyDescent="0.25">
      <c r="A41" s="42"/>
      <c r="B41" s="43" t="s">
        <v>60</v>
      </c>
      <c r="C41" s="43" t="s">
        <v>62</v>
      </c>
      <c r="D41" s="63">
        <f>D34/D39</f>
        <v>11.550402814014163</v>
      </c>
      <c r="E41" s="63">
        <f>E34/E39</f>
        <v>7.2618639267147094</v>
      </c>
      <c r="F41" s="63">
        <f>F34/F39</f>
        <v>11.482899186119727</v>
      </c>
      <c r="G41" s="71"/>
    </row>
    <row r="42" spans="1:7" s="41" customFormat="1" x14ac:dyDescent="0.25">
      <c r="A42" s="42"/>
      <c r="B42" s="43" t="s">
        <v>77</v>
      </c>
      <c r="C42" s="43" t="s">
        <v>62</v>
      </c>
      <c r="D42" s="63">
        <f>D34/D40</f>
        <v>1.0038302217931236</v>
      </c>
      <c r="E42" s="63">
        <f>E34/E40</f>
        <v>0.87774055246660077</v>
      </c>
      <c r="F42" s="63">
        <f>F34/F40</f>
        <v>1.4893578665479832</v>
      </c>
      <c r="G42" s="70"/>
    </row>
    <row r="43" spans="1:7" x14ac:dyDescent="0.25">
      <c r="B43" s="31"/>
      <c r="C43" s="31"/>
      <c r="D43" s="32"/>
      <c r="E43" s="32"/>
      <c r="F43" s="32"/>
    </row>
  </sheetData>
  <phoneticPr fontId="19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A1:XFC51"/>
  <sheetViews>
    <sheetView showGridLines="0" zoomScaleNormal="100" workbookViewId="0">
      <pane ySplit="3" topLeftCell="A8" activePane="bottomLeft" state="frozen"/>
      <selection pane="bottomLeft" activeCell="C45" sqref="C45"/>
    </sheetView>
  </sheetViews>
  <sheetFormatPr defaultColWidth="0" defaultRowHeight="15" x14ac:dyDescent="0.25"/>
  <cols>
    <col min="1" max="1" width="45" customWidth="1"/>
    <col min="2" max="3" width="20.7109375" customWidth="1"/>
    <col min="4" max="4" width="20.7109375" style="41" customWidth="1"/>
    <col min="5" max="5" width="57.7109375" customWidth="1"/>
    <col min="6" max="10" width="8.7109375" hidden="1" customWidth="1"/>
    <col min="11" max="16383" width="8.7109375" hidden="1"/>
    <col min="16384" max="16384" width="6.28515625" hidden="1" customWidth="1"/>
  </cols>
  <sheetData>
    <row r="1" spans="1:8" s="221" customFormat="1" ht="21.75" customHeight="1" x14ac:dyDescent="0.25">
      <c r="A1" s="229" t="str">
        <f>Dashboard!$B$4&amp;" "&amp;Dashboard!$B$5</f>
        <v>Sumitomo Corporation 8053.T</v>
      </c>
      <c r="B1" s="218"/>
      <c r="C1" s="218"/>
      <c r="D1" s="218"/>
      <c r="E1" s="218"/>
    </row>
    <row r="2" spans="1:8" s="221" customFormat="1" ht="21.75" customHeight="1" x14ac:dyDescent="0.25">
      <c r="A2" s="230" t="s">
        <v>150</v>
      </c>
      <c r="B2" s="219"/>
      <c r="C2" s="219"/>
      <c r="D2" s="219"/>
      <c r="E2" s="219"/>
    </row>
    <row r="3" spans="1:8" s="221" customFormat="1" x14ac:dyDescent="0.25">
      <c r="D3" s="223"/>
    </row>
    <row r="4" spans="1:8" x14ac:dyDescent="0.25">
      <c r="A4" s="121" t="s">
        <v>109</v>
      </c>
      <c r="B4" s="121"/>
      <c r="C4" s="121"/>
      <c r="D4" s="121"/>
      <c r="E4" s="121"/>
      <c r="F4" s="121"/>
      <c r="G4" s="121"/>
      <c r="H4" s="121"/>
    </row>
    <row r="5" spans="1:8" x14ac:dyDescent="0.25">
      <c r="A5" s="164"/>
      <c r="B5" s="164"/>
      <c r="C5" s="164"/>
      <c r="D5" s="164"/>
      <c r="E5" s="164"/>
      <c r="F5" s="146"/>
      <c r="G5" s="146"/>
      <c r="H5" s="146"/>
    </row>
    <row r="6" spans="1:8" x14ac:dyDescent="0.25">
      <c r="A6" s="164"/>
      <c r="B6" s="164"/>
      <c r="C6" s="164"/>
      <c r="D6" s="164"/>
      <c r="E6" s="164"/>
      <c r="F6" s="146"/>
      <c r="G6" s="146"/>
      <c r="H6" s="146"/>
    </row>
    <row r="7" spans="1:8" x14ac:dyDescent="0.25">
      <c r="A7" s="173"/>
      <c r="B7" s="173" t="s">
        <v>43</v>
      </c>
      <c r="C7" s="173" t="s">
        <v>8</v>
      </c>
      <c r="D7" s="73"/>
      <c r="E7" s="88"/>
      <c r="F7" s="89"/>
    </row>
    <row r="8" spans="1:8" x14ac:dyDescent="0.25">
      <c r="A8" s="165" t="s">
        <v>92</v>
      </c>
      <c r="B8" s="166"/>
      <c r="C8" s="167"/>
      <c r="D8" s="163"/>
      <c r="E8" s="98"/>
      <c r="F8" s="99"/>
    </row>
    <row r="9" spans="1:8" x14ac:dyDescent="0.25">
      <c r="A9" s="116" t="s">
        <v>57</v>
      </c>
      <c r="B9" s="116" t="s">
        <v>45</v>
      </c>
      <c r="C9" s="169">
        <f>'Results&amp;Guidance'!D6</f>
        <v>5780</v>
      </c>
      <c r="D9" s="163"/>
      <c r="E9" s="101"/>
      <c r="F9" s="100"/>
    </row>
    <row r="10" spans="1:8" x14ac:dyDescent="0.25">
      <c r="A10" s="116" t="s">
        <v>78</v>
      </c>
      <c r="B10" s="116" t="s">
        <v>80</v>
      </c>
      <c r="C10" s="169">
        <f>'Results&amp;Guidance'!D7</f>
        <v>1192660</v>
      </c>
      <c r="D10" s="163"/>
      <c r="E10" s="101"/>
      <c r="F10" s="100"/>
    </row>
    <row r="11" spans="1:8" x14ac:dyDescent="0.25">
      <c r="A11" s="168" t="s">
        <v>88</v>
      </c>
      <c r="B11" s="168" t="s">
        <v>44</v>
      </c>
      <c r="C11" s="169">
        <f>'Results&amp;Guidance'!D8</f>
        <v>6893574.7999999998</v>
      </c>
      <c r="D11" s="163"/>
      <c r="E11" s="101"/>
      <c r="F11" s="100"/>
    </row>
    <row r="12" spans="1:8" x14ac:dyDescent="0.25">
      <c r="A12" s="116" t="s">
        <v>95</v>
      </c>
      <c r="B12" s="116" t="s">
        <v>45</v>
      </c>
      <c r="C12" s="169">
        <f>'Results&amp;Guidance'!D9</f>
        <v>150</v>
      </c>
      <c r="D12" s="163"/>
      <c r="E12" s="101"/>
      <c r="F12" s="100"/>
    </row>
    <row r="13" spans="1:8" x14ac:dyDescent="0.25">
      <c r="A13" s="116" t="s">
        <v>73</v>
      </c>
      <c r="B13" s="116" t="s">
        <v>46</v>
      </c>
      <c r="C13" s="170">
        <f>'Results&amp;Guidance'!D10</f>
        <v>2.5951557093425604E-2</v>
      </c>
      <c r="D13" s="163"/>
      <c r="E13" s="101"/>
      <c r="F13" s="100"/>
    </row>
    <row r="14" spans="1:8" x14ac:dyDescent="0.25">
      <c r="A14" s="116" t="s">
        <v>54</v>
      </c>
      <c r="B14" s="116" t="s">
        <v>63</v>
      </c>
      <c r="C14" s="169">
        <f>'Results&amp;Guidance'!D11</f>
        <v>503.35720154947762</v>
      </c>
      <c r="D14" s="163"/>
      <c r="E14" s="101"/>
      <c r="F14" s="100"/>
    </row>
    <row r="15" spans="1:8" x14ac:dyDescent="0.25">
      <c r="A15" s="116" t="s">
        <v>48</v>
      </c>
      <c r="B15" s="116" t="s">
        <v>63</v>
      </c>
      <c r="C15" s="169">
        <f>'Results&amp;Guidance'!D12</f>
        <v>3880.8671373232942</v>
      </c>
      <c r="D15" s="163"/>
      <c r="E15" s="101"/>
      <c r="F15" s="100"/>
    </row>
    <row r="16" spans="1:8" x14ac:dyDescent="0.25">
      <c r="A16" s="116" t="s">
        <v>59</v>
      </c>
      <c r="B16" s="116" t="s">
        <v>61</v>
      </c>
      <c r="C16" s="171">
        <f>'Results&amp;Guidance'!D13</f>
        <v>11.482899186119727</v>
      </c>
      <c r="D16" s="163"/>
      <c r="E16" s="101"/>
      <c r="F16" s="100"/>
    </row>
    <row r="17" spans="1:8" x14ac:dyDescent="0.25">
      <c r="A17" s="116" t="s">
        <v>76</v>
      </c>
      <c r="B17" s="116" t="s">
        <v>61</v>
      </c>
      <c r="C17" s="171">
        <f>'Results&amp;Guidance'!D14</f>
        <v>1.4893578665479832</v>
      </c>
      <c r="D17" s="163"/>
      <c r="E17" s="101"/>
      <c r="F17" s="100"/>
    </row>
    <row r="18" spans="1:8" x14ac:dyDescent="0.25">
      <c r="A18" s="73" t="s">
        <v>47</v>
      </c>
      <c r="B18" s="73" t="s">
        <v>44</v>
      </c>
      <c r="C18" s="172">
        <f>'Results&amp;Guidance'!$F$30</f>
        <v>4628555</v>
      </c>
      <c r="D18" s="163"/>
      <c r="E18" s="73"/>
      <c r="F18" s="73"/>
    </row>
    <row r="19" spans="1:8" x14ac:dyDescent="0.25">
      <c r="A19" s="73"/>
      <c r="B19" s="73"/>
      <c r="C19" s="73"/>
      <c r="D19" s="163"/>
      <c r="E19" s="73"/>
      <c r="F19" s="73"/>
    </row>
    <row r="20" spans="1:8" x14ac:dyDescent="0.25">
      <c r="A20" s="165" t="s">
        <v>97</v>
      </c>
      <c r="B20" s="166"/>
      <c r="C20" s="167"/>
      <c r="D20" s="163"/>
      <c r="E20" s="98"/>
      <c r="F20" s="99"/>
    </row>
    <row r="21" spans="1:8" x14ac:dyDescent="0.25">
      <c r="A21" s="174" t="s">
        <v>93</v>
      </c>
      <c r="B21" s="175" t="s">
        <v>44</v>
      </c>
      <c r="C21" s="179">
        <v>630000</v>
      </c>
      <c r="D21" s="163"/>
      <c r="E21" s="98"/>
      <c r="F21" s="100"/>
    </row>
    <row r="22" spans="1:8" x14ac:dyDescent="0.25">
      <c r="A22" s="116" t="s">
        <v>94</v>
      </c>
      <c r="B22" s="116" t="s">
        <v>52</v>
      </c>
      <c r="C22" s="179"/>
      <c r="D22" s="163"/>
      <c r="E22" s="98"/>
      <c r="F22" s="100"/>
    </row>
    <row r="23" spans="1:8" x14ac:dyDescent="0.25">
      <c r="A23" s="168" t="s">
        <v>95</v>
      </c>
      <c r="B23" s="168" t="s">
        <v>70</v>
      </c>
      <c r="C23" s="180">
        <v>160</v>
      </c>
      <c r="D23" s="163"/>
      <c r="E23" s="98"/>
      <c r="F23" s="100"/>
    </row>
    <row r="24" spans="1:8" x14ac:dyDescent="0.25">
      <c r="A24" s="168" t="s">
        <v>127</v>
      </c>
      <c r="B24" s="116" t="s">
        <v>70</v>
      </c>
      <c r="C24" s="177">
        <f>C21*10^3/C10</f>
        <v>528.23101302969837</v>
      </c>
      <c r="D24" s="163"/>
      <c r="E24" s="98"/>
      <c r="F24" s="100"/>
    </row>
    <row r="25" spans="1:8" x14ac:dyDescent="0.25">
      <c r="A25" s="168" t="s">
        <v>128</v>
      </c>
      <c r="B25" s="116" t="s">
        <v>62</v>
      </c>
      <c r="C25" s="178">
        <f>C28/C24</f>
        <v>13.439195777777776</v>
      </c>
      <c r="D25" s="162" t="s">
        <v>130</v>
      </c>
      <c r="E25" s="98"/>
      <c r="F25" s="100"/>
    </row>
    <row r="26" spans="1:8" x14ac:dyDescent="0.25">
      <c r="D26" s="163"/>
    </row>
    <row r="27" spans="1:8" x14ac:dyDescent="0.25">
      <c r="A27" s="72" t="s">
        <v>96</v>
      </c>
      <c r="B27" s="73"/>
      <c r="C27" s="102"/>
      <c r="D27" s="163"/>
      <c r="E27" s="73"/>
      <c r="F27" s="73"/>
      <c r="G27" s="73"/>
      <c r="H27" s="73"/>
    </row>
    <row r="28" spans="1:8" x14ac:dyDescent="0.25">
      <c r="A28" s="174" t="s">
        <v>145</v>
      </c>
      <c r="B28" s="189" t="s">
        <v>70</v>
      </c>
      <c r="C28" s="191">
        <v>7099</v>
      </c>
      <c r="D28" s="162" t="s">
        <v>129</v>
      </c>
      <c r="E28" s="98"/>
      <c r="F28" s="100"/>
      <c r="G28" s="73"/>
      <c r="H28" s="73"/>
    </row>
    <row r="29" spans="1:8" x14ac:dyDescent="0.25">
      <c r="A29" s="116" t="s">
        <v>98</v>
      </c>
      <c r="B29" s="116" t="s">
        <v>62</v>
      </c>
      <c r="C29" s="193">
        <v>14</v>
      </c>
      <c r="D29" s="163"/>
      <c r="E29" s="98"/>
      <c r="F29" s="100"/>
      <c r="G29" s="73"/>
      <c r="H29" s="73"/>
    </row>
    <row r="30" spans="1:8" x14ac:dyDescent="0.25">
      <c r="A30" s="116" t="s">
        <v>99</v>
      </c>
      <c r="B30" s="116" t="s">
        <v>62</v>
      </c>
      <c r="C30" s="192">
        <v>20</v>
      </c>
      <c r="D30" s="163"/>
      <c r="E30" s="98"/>
      <c r="F30" s="100"/>
      <c r="G30" s="73"/>
      <c r="H30" s="73"/>
    </row>
    <row r="31" spans="1:8" x14ac:dyDescent="0.25">
      <c r="A31" s="116" t="s">
        <v>100</v>
      </c>
      <c r="B31" s="116" t="s">
        <v>62</v>
      </c>
      <c r="C31" s="178">
        <f>AVERAGE(C29:C30)</f>
        <v>17</v>
      </c>
      <c r="D31" s="163"/>
      <c r="E31" s="98"/>
      <c r="F31" s="100"/>
      <c r="G31" s="73"/>
      <c r="H31" s="73"/>
    </row>
    <row r="32" spans="1:8" x14ac:dyDescent="0.25">
      <c r="A32" s="87"/>
      <c r="B32" s="87"/>
      <c r="C32" s="95"/>
      <c r="D32" s="163"/>
      <c r="E32" s="98"/>
      <c r="F32" s="100"/>
      <c r="G32" s="73"/>
      <c r="H32" s="73"/>
    </row>
    <row r="33" spans="1:8" x14ac:dyDescent="0.25">
      <c r="A33" s="116" t="s">
        <v>140</v>
      </c>
      <c r="B33" s="116" t="s">
        <v>62</v>
      </c>
      <c r="C33" s="193">
        <v>2</v>
      </c>
      <c r="D33" s="163"/>
      <c r="E33" s="98"/>
      <c r="F33" s="100"/>
      <c r="G33" s="73"/>
      <c r="H33" s="73"/>
    </row>
    <row r="34" spans="1:8" x14ac:dyDescent="0.25">
      <c r="A34" s="116" t="s">
        <v>142</v>
      </c>
      <c r="B34" s="116" t="s">
        <v>62</v>
      </c>
      <c r="C34" s="192">
        <v>2.25</v>
      </c>
      <c r="D34" s="163"/>
      <c r="E34" s="98"/>
      <c r="F34" s="100"/>
      <c r="G34" s="73"/>
      <c r="H34" s="73"/>
    </row>
    <row r="35" spans="1:8" x14ac:dyDescent="0.25">
      <c r="A35" s="116" t="s">
        <v>141</v>
      </c>
      <c r="B35" s="116" t="s">
        <v>62</v>
      </c>
      <c r="C35" s="176">
        <f>AVERAGE(C33:C34)</f>
        <v>2.125</v>
      </c>
      <c r="D35" s="163"/>
      <c r="E35" s="98"/>
      <c r="F35" s="100"/>
      <c r="G35" s="73"/>
      <c r="H35" s="73"/>
    </row>
    <row r="36" spans="1:8" x14ac:dyDescent="0.25">
      <c r="A36" s="87"/>
      <c r="B36" s="87"/>
      <c r="C36" s="95"/>
      <c r="D36" s="163"/>
      <c r="E36" s="91"/>
      <c r="F36" s="92"/>
      <c r="G36" s="73"/>
      <c r="H36" s="73"/>
    </row>
    <row r="37" spans="1:8" x14ac:dyDescent="0.25">
      <c r="A37" s="194" t="s">
        <v>131</v>
      </c>
      <c r="B37" s="188"/>
      <c r="C37" s="195"/>
      <c r="D37" s="163"/>
      <c r="E37" s="91"/>
      <c r="F37" s="92"/>
      <c r="G37" s="73"/>
      <c r="H37" s="73"/>
    </row>
    <row r="38" spans="1:8" x14ac:dyDescent="0.25">
      <c r="A38" s="116" t="s">
        <v>118</v>
      </c>
      <c r="B38" s="116" t="s">
        <v>52</v>
      </c>
      <c r="C38" s="190">
        <v>70000</v>
      </c>
      <c r="D38" s="163"/>
      <c r="E38" s="91"/>
      <c r="F38" s="92"/>
      <c r="G38" s="73"/>
      <c r="H38" s="73"/>
    </row>
    <row r="39" spans="1:8" x14ac:dyDescent="0.25">
      <c r="A39" s="116" t="s">
        <v>119</v>
      </c>
      <c r="B39" s="168" t="s">
        <v>70</v>
      </c>
      <c r="C39" s="196">
        <f>C28</f>
        <v>7099</v>
      </c>
      <c r="D39" s="163"/>
      <c r="E39" s="91"/>
      <c r="F39" s="92"/>
      <c r="G39" s="73"/>
      <c r="H39" s="73"/>
    </row>
    <row r="40" spans="1:8" x14ac:dyDescent="0.25">
      <c r="A40" s="116" t="s">
        <v>120</v>
      </c>
      <c r="B40" s="168" t="s">
        <v>81</v>
      </c>
      <c r="C40" s="196">
        <f>C38*10^3/C39</f>
        <v>9860.5437385547266</v>
      </c>
      <c r="D40" s="163"/>
      <c r="E40" s="91"/>
      <c r="F40" s="92"/>
      <c r="G40" s="73"/>
      <c r="H40" s="73"/>
    </row>
    <row r="41" spans="1:8" x14ac:dyDescent="0.25">
      <c r="A41" s="116" t="s">
        <v>121</v>
      </c>
      <c r="B41" s="168" t="s">
        <v>80</v>
      </c>
      <c r="C41" s="196">
        <f>C10-C40</f>
        <v>1182799.4562614453</v>
      </c>
      <c r="D41" s="163"/>
      <c r="E41" s="91"/>
      <c r="F41" s="92"/>
      <c r="G41" s="73"/>
      <c r="H41" s="73"/>
    </row>
    <row r="42" spans="1:8" x14ac:dyDescent="0.25">
      <c r="A42" s="1"/>
      <c r="B42" s="74"/>
      <c r="C42" s="74"/>
      <c r="D42" s="2"/>
    </row>
    <row r="43" spans="1:8" x14ac:dyDescent="0.25">
      <c r="A43" s="146" t="s">
        <v>115</v>
      </c>
      <c r="B43" s="197"/>
      <c r="C43" s="197"/>
      <c r="D43" s="198"/>
      <c r="E43" s="145"/>
    </row>
    <row r="44" spans="1:8" x14ac:dyDescent="0.25">
      <c r="A44" s="116" t="s">
        <v>0</v>
      </c>
      <c r="B44" s="116"/>
      <c r="C44" s="200">
        <v>8.5000000000000006E-2</v>
      </c>
      <c r="D44" s="101"/>
    </row>
    <row r="45" spans="1:8" x14ac:dyDescent="0.25">
      <c r="A45" s="116" t="s">
        <v>1</v>
      </c>
      <c r="B45" s="116"/>
      <c r="C45" s="200">
        <v>0.03</v>
      </c>
      <c r="D45" s="101" t="s">
        <v>2</v>
      </c>
    </row>
    <row r="46" spans="1:8" x14ac:dyDescent="0.25">
      <c r="A46" s="116" t="s">
        <v>3</v>
      </c>
      <c r="B46" s="116"/>
      <c r="C46" s="200">
        <v>0</v>
      </c>
      <c r="D46" s="101" t="s">
        <v>308</v>
      </c>
    </row>
    <row r="47" spans="1:8" x14ac:dyDescent="0.25">
      <c r="A47" s="116" t="s">
        <v>4</v>
      </c>
      <c r="B47" s="116"/>
      <c r="C47" s="200">
        <v>0</v>
      </c>
      <c r="D47" s="101" t="s">
        <v>308</v>
      </c>
    </row>
    <row r="48" spans="1:8" x14ac:dyDescent="0.25">
      <c r="A48" s="116" t="s">
        <v>5</v>
      </c>
      <c r="B48" s="116"/>
      <c r="C48" s="199">
        <v>0.03</v>
      </c>
      <c r="D48" s="101" t="s">
        <v>6</v>
      </c>
    </row>
    <row r="49" spans="1:5" x14ac:dyDescent="0.25">
      <c r="A49" s="116"/>
      <c r="B49" s="116"/>
      <c r="C49" s="116"/>
      <c r="D49" s="116"/>
    </row>
    <row r="51" spans="1:5" x14ac:dyDescent="0.25">
      <c r="E51" s="239"/>
    </row>
  </sheetData>
  <phoneticPr fontId="19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563EB"/>
  </sheetPr>
  <dimension ref="A1:G19"/>
  <sheetViews>
    <sheetView showGridLines="0" zoomScaleNormal="100" workbookViewId="0">
      <selection activeCell="C6" sqref="C6"/>
    </sheetView>
  </sheetViews>
  <sheetFormatPr defaultColWidth="0" defaultRowHeight="15" x14ac:dyDescent="0.25"/>
  <cols>
    <col min="1" max="1" width="57.28515625" bestFit="1" customWidth="1"/>
    <col min="2" max="6" width="20.7109375" customWidth="1"/>
    <col min="7" max="7" width="0" hidden="1" customWidth="1"/>
    <col min="8" max="16384" width="8.7109375" hidden="1"/>
  </cols>
  <sheetData>
    <row r="1" spans="1:6" ht="21.75" customHeight="1" x14ac:dyDescent="0.25">
      <c r="A1" s="229" t="str">
        <f>Dashboard!$B$4&amp;" "&amp;Dashboard!$B$5</f>
        <v>Sumitomo Corporation 8053.T</v>
      </c>
      <c r="B1" s="218"/>
      <c r="C1" s="218"/>
      <c r="D1" s="218"/>
      <c r="E1" s="218"/>
      <c r="F1" s="218"/>
    </row>
    <row r="2" spans="1:6" ht="21.75" customHeight="1" x14ac:dyDescent="0.25">
      <c r="A2" s="230" t="s">
        <v>151</v>
      </c>
      <c r="B2" s="219"/>
      <c r="C2" s="219"/>
      <c r="D2" s="219"/>
      <c r="E2" s="219"/>
      <c r="F2" s="219"/>
    </row>
    <row r="3" spans="1:6" ht="21.75" customHeight="1" x14ac:dyDescent="0.25">
      <c r="A3" s="230"/>
      <c r="B3" s="219"/>
      <c r="C3" s="219"/>
      <c r="D3" s="219"/>
      <c r="E3" s="219"/>
      <c r="F3" s="219"/>
    </row>
    <row r="4" spans="1:6" ht="18" customHeight="1" x14ac:dyDescent="0.25">
      <c r="A4" s="121" t="s">
        <v>83</v>
      </c>
      <c r="B4" s="121"/>
      <c r="C4" s="121"/>
      <c r="D4" s="121"/>
      <c r="E4" s="121"/>
      <c r="F4" s="121"/>
    </row>
    <row r="5" spans="1:6" ht="34.5" customHeight="1" x14ac:dyDescent="0.25">
      <c r="A5" s="156" t="s">
        <v>9</v>
      </c>
      <c r="B5" s="156" t="s">
        <v>10</v>
      </c>
      <c r="C5" s="156" t="s">
        <v>11</v>
      </c>
      <c r="D5" s="156" t="s">
        <v>12</v>
      </c>
      <c r="E5" s="156" t="s">
        <v>13</v>
      </c>
      <c r="F5" s="156" t="s">
        <v>101</v>
      </c>
    </row>
    <row r="6" spans="1:6" ht="15" customHeight="1" x14ac:dyDescent="0.25">
      <c r="A6" s="1" t="s">
        <v>84</v>
      </c>
      <c r="B6" s="201">
        <f>'① Assumptions'!C29</f>
        <v>14</v>
      </c>
      <c r="C6" s="202">
        <f>'① Assumptions'!$C$24</f>
        <v>528.23101302969837</v>
      </c>
      <c r="D6" s="203">
        <f>B6*C6</f>
        <v>7395.2341824157775</v>
      </c>
      <c r="E6" s="202">
        <f>D6-'① Assumptions'!$C$28</f>
        <v>296.23418241577747</v>
      </c>
      <c r="F6" s="204">
        <f>E6/'① Assumptions'!$C$28</f>
        <v>4.1729001608082475E-2</v>
      </c>
    </row>
    <row r="7" spans="1:6" ht="15" customHeight="1" x14ac:dyDescent="0.25">
      <c r="A7" s="1" t="s">
        <v>86</v>
      </c>
      <c r="B7" s="201">
        <f>'① Assumptions'!C31</f>
        <v>17</v>
      </c>
      <c r="C7" s="202">
        <f>'① Assumptions'!$C$24</f>
        <v>528.23101302969837</v>
      </c>
      <c r="D7" s="203">
        <f>B7*C7</f>
        <v>8979.9272215048732</v>
      </c>
      <c r="E7" s="202">
        <f>D7-'① Assumptions'!$C$28</f>
        <v>1880.9272215048732</v>
      </c>
      <c r="F7" s="204">
        <f>E7/'① Assumptions'!$C$28</f>
        <v>0.26495664480981451</v>
      </c>
    </row>
    <row r="8" spans="1:6" ht="15" customHeight="1" x14ac:dyDescent="0.25">
      <c r="A8" s="116" t="s">
        <v>85</v>
      </c>
      <c r="B8" s="205">
        <f>'① Assumptions'!C30</f>
        <v>20</v>
      </c>
      <c r="C8" s="196">
        <f>'① Assumptions'!$C$24</f>
        <v>528.23101302969837</v>
      </c>
      <c r="D8" s="206">
        <f>B8*C8</f>
        <v>10564.620260593967</v>
      </c>
      <c r="E8" s="196">
        <f>D8-'① Assumptions'!$C$28</f>
        <v>3465.620260593967</v>
      </c>
      <c r="F8" s="207">
        <f>E8/'① Assumptions'!$C$28</f>
        <v>0.48818428801154629</v>
      </c>
    </row>
    <row r="9" spans="1:6" ht="15" customHeight="1" x14ac:dyDescent="0.25">
      <c r="A9" s="36" t="s">
        <v>159</v>
      </c>
      <c r="B9" s="151">
        <f>B7</f>
        <v>17</v>
      </c>
      <c r="C9" s="152">
        <f>'① Assumptions'!C21*10^3/'① Assumptions'!C41</f>
        <v>532.63467163849043</v>
      </c>
      <c r="D9" s="153">
        <f>B9*C9</f>
        <v>9054.7894178543374</v>
      </c>
      <c r="E9" s="152">
        <f>D9-'① Assumptions'!$C$28</f>
        <v>1955.7894178543374</v>
      </c>
      <c r="F9" s="154">
        <f>E9/'① Assumptions'!$C$28</f>
        <v>0.27550210140221687</v>
      </c>
    </row>
    <row r="11" spans="1:6" ht="18" customHeight="1" x14ac:dyDescent="0.25">
      <c r="A11" s="123" t="s">
        <v>126</v>
      </c>
      <c r="B11" s="123"/>
      <c r="C11" s="123"/>
      <c r="D11" s="123"/>
      <c r="E11" s="123"/>
      <c r="F11" s="123"/>
    </row>
    <row r="12" spans="1:6" ht="34.5" customHeight="1" x14ac:dyDescent="0.25">
      <c r="A12" s="157" t="s">
        <v>9</v>
      </c>
      <c r="B12" s="157" t="s">
        <v>15</v>
      </c>
      <c r="C12" s="157" t="s">
        <v>16</v>
      </c>
      <c r="D12" s="157" t="s">
        <v>12</v>
      </c>
      <c r="E12" s="157" t="s">
        <v>13</v>
      </c>
      <c r="F12" s="157" t="s">
        <v>14</v>
      </c>
    </row>
    <row r="13" spans="1:6" ht="15" customHeight="1" x14ac:dyDescent="0.25">
      <c r="A13" s="1" t="s">
        <v>84</v>
      </c>
      <c r="B13" s="201">
        <f>'① Assumptions'!C33</f>
        <v>2</v>
      </c>
      <c r="C13" s="202">
        <f>'① Assumptions'!$C$15</f>
        <v>3880.8671373232942</v>
      </c>
      <c r="D13" s="203">
        <f>B13*C13</f>
        <v>7761.7342746465883</v>
      </c>
      <c r="E13" s="202">
        <f>D13-'① Assumptions'!$C$28</f>
        <v>662.73427464658835</v>
      </c>
      <c r="F13" s="204">
        <f>E13/'① Assumptions'!$C$28</f>
        <v>9.3356004317028923E-2</v>
      </c>
    </row>
    <row r="14" spans="1:6" ht="15" customHeight="1" x14ac:dyDescent="0.25">
      <c r="A14" s="1" t="s">
        <v>86</v>
      </c>
      <c r="B14" s="201">
        <f>'① Assumptions'!C35</f>
        <v>2.125</v>
      </c>
      <c r="C14" s="202">
        <f>'① Assumptions'!$C$15</f>
        <v>3880.8671373232942</v>
      </c>
      <c r="D14" s="203">
        <f>B14*C14</f>
        <v>8246.842666812001</v>
      </c>
      <c r="E14" s="196">
        <f>D14-'① Assumptions'!$C$28</f>
        <v>1147.842666812001</v>
      </c>
      <c r="F14" s="204">
        <f>E14/'① Assumptions'!$C$28</f>
        <v>0.16169075458684334</v>
      </c>
    </row>
    <row r="15" spans="1:6" ht="15" customHeight="1" x14ac:dyDescent="0.25">
      <c r="A15" s="1" t="s">
        <v>85</v>
      </c>
      <c r="B15" s="201">
        <f>'① Assumptions'!C34</f>
        <v>2.25</v>
      </c>
      <c r="C15" s="202">
        <f>'① Assumptions'!$C$15</f>
        <v>3880.8671373232942</v>
      </c>
      <c r="D15" s="203">
        <f>B15*C15</f>
        <v>8731.9510589774127</v>
      </c>
      <c r="E15" s="152">
        <f>D15-'① Assumptions'!$C$28</f>
        <v>1632.9510589774127</v>
      </c>
      <c r="F15" s="204">
        <f>E15/'① Assumptions'!$C$28</f>
        <v>0.23002550485665765</v>
      </c>
    </row>
    <row r="17" spans="1:5" x14ac:dyDescent="0.25">
      <c r="A17" s="160"/>
      <c r="B17" s="41"/>
      <c r="C17" s="41"/>
      <c r="D17" s="41"/>
      <c r="E17" s="41"/>
    </row>
    <row r="18" spans="1:5" x14ac:dyDescent="0.25">
      <c r="A18" s="161"/>
      <c r="B18" s="159"/>
      <c r="C18" s="159"/>
      <c r="D18" s="159"/>
      <c r="E18" s="159"/>
    </row>
    <row r="19" spans="1:5" x14ac:dyDescent="0.25">
      <c r="A19" s="73"/>
      <c r="B19" s="41"/>
      <c r="C19" s="41"/>
      <c r="D19" s="41"/>
      <c r="E19" s="41"/>
    </row>
  </sheetData>
  <phoneticPr fontId="19"/>
  <conditionalFormatting sqref="F6:F9">
    <cfRule type="cellIs" dxfId="5" priority="4" operator="greaterThan">
      <formula>0</formula>
    </cfRule>
    <cfRule type="cellIs" dxfId="4" priority="5" operator="lessThan">
      <formula>0</formula>
    </cfRule>
  </conditionalFormatting>
  <conditionalFormatting sqref="F13:F15">
    <cfRule type="cellIs" dxfId="3" priority="1" operator="greaterThan">
      <formula>0</formula>
    </cfRule>
    <cfRule type="cellIs" dxfId="2" priority="2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6A34A"/>
  </sheetPr>
  <dimension ref="A1:Q45"/>
  <sheetViews>
    <sheetView showGridLines="0" zoomScaleNormal="100" workbookViewId="0">
      <selection activeCell="K23" sqref="K23"/>
    </sheetView>
  </sheetViews>
  <sheetFormatPr defaultColWidth="0" defaultRowHeight="15" x14ac:dyDescent="0.25"/>
  <cols>
    <col min="1" max="1" width="5.42578125" customWidth="1"/>
    <col min="2" max="2" width="49.140625" customWidth="1"/>
    <col min="3" max="16" width="15.7109375" customWidth="1"/>
    <col min="17" max="17" width="0" hidden="1" customWidth="1"/>
    <col min="18" max="16384" width="8.7109375" hidden="1"/>
  </cols>
  <sheetData>
    <row r="1" spans="1:16" ht="21.75" customHeight="1" x14ac:dyDescent="0.25">
      <c r="A1" s="229" t="str">
        <f>Dashboard!$B$4&amp;" "&amp;Dashboard!$B$5</f>
        <v>Sumitomo Corporation 8053.T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21.75" customHeight="1" x14ac:dyDescent="0.25">
      <c r="A2" s="230" t="s">
        <v>152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</row>
    <row r="3" spans="1:16" ht="21.75" customHeight="1" x14ac:dyDescent="0.25">
      <c r="A3" s="230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</row>
    <row r="4" spans="1:16" x14ac:dyDescent="0.25">
      <c r="A4" s="123" t="s">
        <v>116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</row>
    <row r="5" spans="1:16" x14ac:dyDescent="0.25">
      <c r="A5" s="29"/>
      <c r="B5" s="115"/>
      <c r="C5" s="115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x14ac:dyDescent="0.25">
      <c r="A6" s="29"/>
      <c r="B6" s="158"/>
      <c r="C6" s="86" t="s">
        <v>124</v>
      </c>
      <c r="D6" s="86" t="s">
        <v>125</v>
      </c>
    </row>
    <row r="7" spans="1:16" x14ac:dyDescent="0.25">
      <c r="A7" s="29"/>
      <c r="B7" s="3" t="s">
        <v>17</v>
      </c>
      <c r="C7" s="96">
        <f>D27</f>
        <v>2809.9529213904734</v>
      </c>
      <c r="D7" s="96">
        <f>D42</f>
        <v>2833.378417181812</v>
      </c>
    </row>
    <row r="8" spans="1:16" x14ac:dyDescent="0.25">
      <c r="A8" s="29"/>
      <c r="B8" s="4" t="s">
        <v>18</v>
      </c>
      <c r="C8" s="97">
        <f>D28</f>
        <v>4832.0135354044396</v>
      </c>
      <c r="D8" s="97">
        <f>D43</f>
        <v>5016.9599692990823</v>
      </c>
    </row>
    <row r="9" spans="1:16" x14ac:dyDescent="0.25">
      <c r="A9" s="29"/>
      <c r="B9" s="113" t="s">
        <v>20</v>
      </c>
      <c r="C9" s="114">
        <f>SUM(C7:C8)</f>
        <v>7641.966456794913</v>
      </c>
      <c r="D9" s="114">
        <f>SUM(D7:D8)</f>
        <v>7850.3383864808948</v>
      </c>
    </row>
    <row r="10" spans="1:16" x14ac:dyDescent="0.25">
      <c r="A10" s="29"/>
      <c r="B10" s="1" t="s">
        <v>19</v>
      </c>
      <c r="C10" s="9">
        <f>C8/C9</f>
        <v>0.63229975723172893</v>
      </c>
      <c r="D10" s="9">
        <f>D8/D9</f>
        <v>0.63907563245156584</v>
      </c>
      <c r="E10" s="73" t="s">
        <v>144</v>
      </c>
    </row>
    <row r="11" spans="1:16" x14ac:dyDescent="0.25">
      <c r="A11" s="29"/>
      <c r="B11" s="3" t="s">
        <v>21</v>
      </c>
      <c r="C11" s="96">
        <f>'① Assumptions'!$C$28</f>
        <v>7099</v>
      </c>
      <c r="D11" s="96">
        <f>'① Assumptions'!$C$28</f>
        <v>7099</v>
      </c>
    </row>
    <row r="12" spans="1:16" x14ac:dyDescent="0.25">
      <c r="A12" s="29"/>
      <c r="B12" s="4" t="s">
        <v>22</v>
      </c>
      <c r="C12" s="97">
        <f>C9-C11</f>
        <v>542.96645679491303</v>
      </c>
      <c r="D12" s="97">
        <f>D9-D11</f>
        <v>751.33838648089477</v>
      </c>
    </row>
    <row r="13" spans="1:16" x14ac:dyDescent="0.25">
      <c r="A13" s="29"/>
      <c r="B13" s="3" t="s">
        <v>23</v>
      </c>
      <c r="C13" s="5">
        <f>(C9-C11)/C11</f>
        <v>7.6484921368490361E-2</v>
      </c>
      <c r="D13" s="5">
        <f>(D9-D11)/D11</f>
        <v>0.10583721460499997</v>
      </c>
    </row>
    <row r="14" spans="1:16" x14ac:dyDescent="0.2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</row>
    <row r="15" spans="1:16" x14ac:dyDescent="0.25">
      <c r="A15" s="121" t="s">
        <v>117</v>
      </c>
      <c r="B15" s="119"/>
      <c r="C15" s="118"/>
      <c r="D15" s="118"/>
      <c r="E15" s="124"/>
      <c r="F15" s="118"/>
      <c r="G15" s="120"/>
      <c r="H15" s="120"/>
      <c r="I15" s="120"/>
      <c r="J15" s="120"/>
      <c r="K15" s="120"/>
      <c r="L15" s="120"/>
      <c r="M15" s="120"/>
      <c r="N15" s="120"/>
      <c r="O15" s="120"/>
      <c r="P15" s="120"/>
    </row>
    <row r="16" spans="1:16" x14ac:dyDescent="0.25">
      <c r="A16" s="29"/>
      <c r="C16" s="29"/>
      <c r="D16" s="29"/>
      <c r="E16" s="29"/>
      <c r="F16" s="29"/>
      <c r="G16" s="73"/>
      <c r="H16" s="73"/>
      <c r="I16" s="73"/>
      <c r="J16" s="73"/>
      <c r="K16" s="73"/>
      <c r="L16" s="73"/>
      <c r="M16" s="73"/>
      <c r="N16" s="73"/>
      <c r="O16" s="73"/>
      <c r="P16" s="73"/>
    </row>
    <row r="17" spans="1:17" x14ac:dyDescent="0.25">
      <c r="A17" s="29">
        <v>1</v>
      </c>
      <c r="B17" s="155" t="s">
        <v>122</v>
      </c>
      <c r="C17" s="29"/>
      <c r="D17" s="29"/>
      <c r="E17" s="29"/>
      <c r="F17" s="29"/>
      <c r="G17" s="73"/>
      <c r="H17" s="73"/>
      <c r="I17" s="73"/>
      <c r="J17" s="73"/>
      <c r="K17" s="73"/>
      <c r="L17" s="73"/>
      <c r="M17" s="73"/>
      <c r="N17" s="73"/>
      <c r="O17" s="73"/>
      <c r="P17" s="73"/>
    </row>
    <row r="18" spans="1:17" x14ac:dyDescent="0.25">
      <c r="A18" s="73"/>
      <c r="B18" s="125"/>
      <c r="C18" s="104"/>
      <c r="D18" s="104"/>
      <c r="E18" s="106" t="s">
        <v>56</v>
      </c>
      <c r="F18" s="104">
        <v>1</v>
      </c>
      <c r="G18" s="104">
        <f t="shared" ref="G18:O18" si="0">F18+1</f>
        <v>2</v>
      </c>
      <c r="H18" s="104">
        <f t="shared" si="0"/>
        <v>3</v>
      </c>
      <c r="I18" s="104">
        <f t="shared" si="0"/>
        <v>4</v>
      </c>
      <c r="J18" s="104">
        <f t="shared" si="0"/>
        <v>5</v>
      </c>
      <c r="K18" s="104">
        <f t="shared" si="0"/>
        <v>6</v>
      </c>
      <c r="L18" s="104">
        <f t="shared" si="0"/>
        <v>7</v>
      </c>
      <c r="M18" s="104">
        <f t="shared" si="0"/>
        <v>8</v>
      </c>
      <c r="N18" s="104">
        <f t="shared" si="0"/>
        <v>9</v>
      </c>
      <c r="O18" s="126">
        <f t="shared" si="0"/>
        <v>10</v>
      </c>
      <c r="P18" s="73"/>
    </row>
    <row r="19" spans="1:17" x14ac:dyDescent="0.25">
      <c r="A19" s="73"/>
      <c r="B19" s="127"/>
      <c r="C19" s="102"/>
      <c r="D19" s="102" t="s">
        <v>114</v>
      </c>
      <c r="E19" s="107">
        <v>2025</v>
      </c>
      <c r="F19" s="103">
        <f>E19+1</f>
        <v>2026</v>
      </c>
      <c r="G19" s="103">
        <f t="shared" ref="G19:O19" si="1">F19+1</f>
        <v>2027</v>
      </c>
      <c r="H19" s="103">
        <f t="shared" si="1"/>
        <v>2028</v>
      </c>
      <c r="I19" s="103">
        <f t="shared" si="1"/>
        <v>2029</v>
      </c>
      <c r="J19" s="103">
        <f t="shared" si="1"/>
        <v>2030</v>
      </c>
      <c r="K19" s="103">
        <f t="shared" si="1"/>
        <v>2031</v>
      </c>
      <c r="L19" s="103">
        <f t="shared" si="1"/>
        <v>2032</v>
      </c>
      <c r="M19" s="103">
        <f t="shared" si="1"/>
        <v>2033</v>
      </c>
      <c r="N19" s="103">
        <f t="shared" si="1"/>
        <v>2034</v>
      </c>
      <c r="O19" s="128">
        <f t="shared" si="1"/>
        <v>2035</v>
      </c>
      <c r="P19" s="73"/>
    </row>
    <row r="20" spans="1:17" x14ac:dyDescent="0.25">
      <c r="A20" s="73"/>
      <c r="B20" s="129" t="s">
        <v>102</v>
      </c>
      <c r="C20" s="130" t="s">
        <v>75</v>
      </c>
      <c r="D20" s="130"/>
      <c r="E20" s="108"/>
      <c r="F20" s="131">
        <f>IF(F$18&gt;=6,'① Assumptions'!$C$48,IF(F$18&gt;=2,'① Assumptions'!$C$47,'① Assumptions'!$C$46))</f>
        <v>0</v>
      </c>
      <c r="G20" s="131">
        <f>IF(G$18&gt;=6,'① Assumptions'!$C$48,IF(G$18&gt;=2,'① Assumptions'!$C$47,'① Assumptions'!$C$46))</f>
        <v>0</v>
      </c>
      <c r="H20" s="131">
        <f>IF(H$18&gt;=6,'① Assumptions'!$C$48,IF(H$18&gt;=2,'① Assumptions'!$C$47,'① Assumptions'!$C$46))</f>
        <v>0</v>
      </c>
      <c r="I20" s="131">
        <f>IF(I$18&gt;=6,'① Assumptions'!$C$48,IF(I$18&gt;=2,'① Assumptions'!$C$47,'① Assumptions'!$C$46))</f>
        <v>0</v>
      </c>
      <c r="J20" s="131">
        <f>IF(J$18&gt;=6,'① Assumptions'!$C$48,IF(J$18&gt;=2,'① Assumptions'!$C$47,'① Assumptions'!$C$46))</f>
        <v>0</v>
      </c>
      <c r="K20" s="131">
        <f>IF(K$18&gt;=6,'① Assumptions'!$C$48,IF(K$18&gt;=2,'① Assumptions'!$C$47,'① Assumptions'!$C$46))</f>
        <v>0.03</v>
      </c>
      <c r="L20" s="131">
        <f>IF(L$18&gt;=6,'① Assumptions'!$C$48,IF(L$18&gt;=2,'① Assumptions'!$C$47,'① Assumptions'!$C$46))</f>
        <v>0.03</v>
      </c>
      <c r="M20" s="131">
        <f>IF(M$18&gt;=6,'① Assumptions'!$C$48,IF(M$18&gt;=2,'① Assumptions'!$C$47,'① Assumptions'!$C$46))</f>
        <v>0.03</v>
      </c>
      <c r="N20" s="131">
        <f>IF(N$18&gt;=6,'① Assumptions'!$C$48,IF(N$18&gt;=2,'① Assumptions'!$C$47,'① Assumptions'!$C$46))</f>
        <v>0.03</v>
      </c>
      <c r="O20" s="132">
        <f>IF(O$18&gt;=6,'① Assumptions'!$C$48,IF(O$18&gt;=2,'① Assumptions'!$C$47,'① Assumptions'!$C$46))</f>
        <v>0.03</v>
      </c>
      <c r="P20" s="73"/>
    </row>
    <row r="21" spans="1:17" x14ac:dyDescent="0.25">
      <c r="A21" s="241"/>
      <c r="B21" s="246" t="s">
        <v>172</v>
      </c>
      <c r="C21" s="247" t="s">
        <v>44</v>
      </c>
      <c r="D21" s="248">
        <f>SUM(F21:O21)</f>
        <v>5431045.9305800004</v>
      </c>
      <c r="E21" s="249">
        <v>657564</v>
      </c>
      <c r="F21" s="259">
        <v>250000</v>
      </c>
      <c r="G21" s="259">
        <v>350000</v>
      </c>
      <c r="H21" s="259">
        <v>450000</v>
      </c>
      <c r="I21" s="259">
        <v>500000</v>
      </c>
      <c r="J21" s="259">
        <v>600000</v>
      </c>
      <c r="K21" s="250">
        <f>J21*(1+K20)</f>
        <v>618000</v>
      </c>
      <c r="L21" s="250">
        <f t="shared" ref="L21:O21" si="2">K21*(1+L20)</f>
        <v>636540</v>
      </c>
      <c r="M21" s="250">
        <f t="shared" si="2"/>
        <v>655636.20000000007</v>
      </c>
      <c r="N21" s="250">
        <f t="shared" si="2"/>
        <v>675305.28600000008</v>
      </c>
      <c r="O21" s="251">
        <f t="shared" si="2"/>
        <v>695564.44458000013</v>
      </c>
      <c r="P21" s="241"/>
      <c r="Q21" s="240"/>
    </row>
    <row r="22" spans="1:17" ht="15.75" thickBot="1" x14ac:dyDescent="0.3">
      <c r="A22" s="73"/>
      <c r="B22" s="133" t="s">
        <v>108</v>
      </c>
      <c r="C22" s="87" t="s">
        <v>44</v>
      </c>
      <c r="D22" s="134">
        <f>SUM(F22:O22)</f>
        <v>13026025.053043636</v>
      </c>
      <c r="E22" s="257"/>
      <c r="F22" s="135"/>
      <c r="G22" s="135"/>
      <c r="H22" s="135"/>
      <c r="I22" s="135"/>
      <c r="J22" s="135"/>
      <c r="K22" s="135"/>
      <c r="L22" s="135"/>
      <c r="M22" s="135"/>
      <c r="N22" s="135"/>
      <c r="O22" s="136">
        <f>(O21*(1+'① Assumptions'!$C$45))/('① Assumptions'!C44-'① Assumptions'!C45)</f>
        <v>13026025.053043636</v>
      </c>
      <c r="P22" s="73"/>
    </row>
    <row r="23" spans="1:17" x14ac:dyDescent="0.25">
      <c r="A23" s="73"/>
      <c r="B23" s="129" t="s">
        <v>79</v>
      </c>
      <c r="C23" s="130" t="s">
        <v>103</v>
      </c>
      <c r="D23" s="130"/>
      <c r="E23" s="109">
        <f>'Results&amp;Guidance'!$D$7</f>
        <v>1192660</v>
      </c>
      <c r="F23" s="137">
        <f>'Results&amp;Guidance'!$D$7</f>
        <v>1192660</v>
      </c>
      <c r="G23" s="137">
        <f>'Results&amp;Guidance'!$D$7</f>
        <v>1192660</v>
      </c>
      <c r="H23" s="137">
        <f>'Results&amp;Guidance'!$D$7</f>
        <v>1192660</v>
      </c>
      <c r="I23" s="137">
        <f>'Results&amp;Guidance'!$D$7</f>
        <v>1192660</v>
      </c>
      <c r="J23" s="137">
        <f>'Results&amp;Guidance'!$D$7</f>
        <v>1192660</v>
      </c>
      <c r="K23" s="137">
        <f>'Results&amp;Guidance'!$D$7</f>
        <v>1192660</v>
      </c>
      <c r="L23" s="137">
        <f>'Results&amp;Guidance'!$D$7</f>
        <v>1192660</v>
      </c>
      <c r="M23" s="137">
        <f>'Results&amp;Guidance'!$D$7</f>
        <v>1192660</v>
      </c>
      <c r="N23" s="137">
        <f>'Results&amp;Guidance'!$D$7</f>
        <v>1192660</v>
      </c>
      <c r="O23" s="252">
        <f>'Results&amp;Guidance'!$D$7</f>
        <v>1192660</v>
      </c>
      <c r="P23" s="73"/>
    </row>
    <row r="24" spans="1:17" ht="15.75" thickBot="1" x14ac:dyDescent="0.3">
      <c r="A24" s="73"/>
      <c r="B24" s="133" t="s">
        <v>104</v>
      </c>
      <c r="C24" s="87" t="s">
        <v>70</v>
      </c>
      <c r="D24" s="87"/>
      <c r="E24" s="109"/>
      <c r="F24" s="135">
        <f>F21*10^3/F$23</f>
        <v>209.6154813609914</v>
      </c>
      <c r="G24" s="135">
        <f>G21*10^3/G$23</f>
        <v>293.46167390538795</v>
      </c>
      <c r="H24" s="135">
        <f t="shared" ref="H24:O24" si="3">H21*10^3/H$23</f>
        <v>377.30786644978451</v>
      </c>
      <c r="I24" s="135">
        <f>I21*10^3/I$23</f>
        <v>419.23096272198279</v>
      </c>
      <c r="J24" s="135">
        <f>J21*10^3/J$23</f>
        <v>503.07715526637935</v>
      </c>
      <c r="K24" s="135">
        <f t="shared" si="3"/>
        <v>518.16946992437079</v>
      </c>
      <c r="L24" s="135">
        <f t="shared" si="3"/>
        <v>533.71455402210188</v>
      </c>
      <c r="M24" s="135">
        <f t="shared" si="3"/>
        <v>549.72599064276505</v>
      </c>
      <c r="N24" s="135">
        <f t="shared" si="3"/>
        <v>566.21777036204799</v>
      </c>
      <c r="O24" s="253">
        <f t="shared" si="3"/>
        <v>583.20430347290949</v>
      </c>
      <c r="P24" s="73"/>
    </row>
    <row r="25" spans="1:17" x14ac:dyDescent="0.25">
      <c r="A25" s="73"/>
      <c r="B25" s="133" t="s">
        <v>110</v>
      </c>
      <c r="C25" s="87" t="s">
        <v>70</v>
      </c>
      <c r="D25" s="87"/>
      <c r="E25" s="109"/>
      <c r="F25" s="135">
        <f>F22*(1+2%)*10^3/F$23</f>
        <v>0</v>
      </c>
      <c r="G25" s="135">
        <f t="shared" ref="G25:N25" si="4">G22*(1+2%)*10^3/G$23</f>
        <v>0</v>
      </c>
      <c r="H25" s="135">
        <f t="shared" si="4"/>
        <v>0</v>
      </c>
      <c r="I25" s="135">
        <f t="shared" si="4"/>
        <v>0</v>
      </c>
      <c r="J25" s="135">
        <f t="shared" si="4"/>
        <v>0</v>
      </c>
      <c r="K25" s="135">
        <f t="shared" si="4"/>
        <v>0</v>
      </c>
      <c r="L25" s="135">
        <f t="shared" si="4"/>
        <v>0</v>
      </c>
      <c r="M25" s="135">
        <f t="shared" si="4"/>
        <v>0</v>
      </c>
      <c r="N25" s="135">
        <f t="shared" si="4"/>
        <v>0</v>
      </c>
      <c r="O25" s="136">
        <f>O22*(1+'① Assumptions'!$C$45%)*10^3/O$23</f>
        <v>10925.102594670356</v>
      </c>
      <c r="P25" s="73"/>
    </row>
    <row r="26" spans="1:17" x14ac:dyDescent="0.25">
      <c r="A26" s="73"/>
      <c r="B26" s="129" t="s">
        <v>105</v>
      </c>
      <c r="C26" s="130" t="s">
        <v>107</v>
      </c>
      <c r="D26" s="130"/>
      <c r="E26" s="110">
        <v>1</v>
      </c>
      <c r="F26" s="139">
        <f>E26/(1+'① Assumptions'!$C$44)</f>
        <v>0.92165898617511521</v>
      </c>
      <c r="G26" s="139">
        <f>F26/(1+'① Assumptions'!$C$44)</f>
        <v>0.84945528679734128</v>
      </c>
      <c r="H26" s="139">
        <f>G26/(1+'① Assumptions'!$C$44)</f>
        <v>0.78290809843072928</v>
      </c>
      <c r="I26" s="139">
        <f>H26/(1+'① Assumptions'!$C$44)</f>
        <v>0.72157428426795323</v>
      </c>
      <c r="J26" s="139">
        <f>I26/(1+'① Assumptions'!$C$44)</f>
        <v>0.66504542328843619</v>
      </c>
      <c r="K26" s="139">
        <f>J26/(1+'① Assumptions'!$C$44)</f>
        <v>0.6129450905884205</v>
      </c>
      <c r="L26" s="139">
        <f>K26/(1+'① Assumptions'!$C$44)</f>
        <v>0.56492635077273778</v>
      </c>
      <c r="M26" s="139">
        <f>L26/(1+'① Assumptions'!$C$44)</f>
        <v>0.52066944771680901</v>
      </c>
      <c r="N26" s="139">
        <f>M26/(1+'① Assumptions'!$C$44)</f>
        <v>0.47987967531503134</v>
      </c>
      <c r="O26" s="140">
        <f>N26/(1+'① Assumptions'!$C$44)</f>
        <v>0.44228541503689528</v>
      </c>
      <c r="P26" s="73"/>
    </row>
    <row r="27" spans="1:17" x14ac:dyDescent="0.25">
      <c r="A27" s="73"/>
      <c r="B27" s="133" t="s">
        <v>111</v>
      </c>
      <c r="C27" s="87" t="s">
        <v>45</v>
      </c>
      <c r="D27" s="134">
        <f>SUM(F27:O27)</f>
        <v>2809.9529213904734</v>
      </c>
      <c r="E27" s="108"/>
      <c r="F27" s="135">
        <f>F$26*F24</f>
        <v>193.19399203778008</v>
      </c>
      <c r="G27" s="135">
        <f>G$26*G24</f>
        <v>249.28257037132917</v>
      </c>
      <c r="H27" s="135">
        <f>H$26*H24</f>
        <v>295.39738424515633</v>
      </c>
      <c r="I27" s="135">
        <f>I$26*I24</f>
        <v>302.50628186907971</v>
      </c>
      <c r="J27" s="135">
        <f>J$26*J24</f>
        <v>334.56915967087161</v>
      </c>
      <c r="K27" s="135">
        <f t="shared" ref="J27:O27" si="5">K$26*K24</f>
        <v>317.60943268294727</v>
      </c>
      <c r="L27" s="135">
        <f t="shared" si="5"/>
        <v>301.50941535800524</v>
      </c>
      <c r="M27" s="135">
        <f t="shared" si="5"/>
        <v>286.22552794354419</v>
      </c>
      <c r="N27" s="135">
        <f t="shared" si="5"/>
        <v>271.71639979894059</v>
      </c>
      <c r="O27" s="136">
        <f t="shared" si="5"/>
        <v>257.94275741281922</v>
      </c>
      <c r="P27" s="73"/>
    </row>
    <row r="28" spans="1:17" x14ac:dyDescent="0.25">
      <c r="A28" s="73"/>
      <c r="B28" s="133" t="s">
        <v>112</v>
      </c>
      <c r="C28" s="87" t="s">
        <v>45</v>
      </c>
      <c r="D28" s="134">
        <f>SUM(F28:O28)</f>
        <v>4832.0135354044396</v>
      </c>
      <c r="E28" s="108"/>
      <c r="F28" s="135">
        <f t="shared" ref="F28:O28" si="6">F$26*F25</f>
        <v>0</v>
      </c>
      <c r="G28" s="135">
        <f t="shared" si="6"/>
        <v>0</v>
      </c>
      <c r="H28" s="135">
        <f t="shared" si="6"/>
        <v>0</v>
      </c>
      <c r="I28" s="135">
        <f t="shared" si="6"/>
        <v>0</v>
      </c>
      <c r="J28" s="135">
        <f t="shared" si="6"/>
        <v>0</v>
      </c>
      <c r="K28" s="135">
        <f t="shared" si="6"/>
        <v>0</v>
      </c>
      <c r="L28" s="135">
        <f t="shared" si="6"/>
        <v>0</v>
      </c>
      <c r="M28" s="135">
        <f t="shared" si="6"/>
        <v>0</v>
      </c>
      <c r="N28" s="135">
        <f t="shared" si="6"/>
        <v>0</v>
      </c>
      <c r="O28" s="136">
        <f t="shared" si="6"/>
        <v>4832.0135354044396</v>
      </c>
      <c r="P28" s="73"/>
    </row>
    <row r="29" spans="1:17" ht="15.75" thickBot="1" x14ac:dyDescent="0.3">
      <c r="A29" s="73"/>
      <c r="B29" s="141" t="s">
        <v>113</v>
      </c>
      <c r="C29" s="90" t="s">
        <v>45</v>
      </c>
      <c r="D29" s="93"/>
      <c r="E29" s="111"/>
      <c r="F29" s="94">
        <f t="shared" ref="F29:O29" si="7">SUM(F27:F28)</f>
        <v>193.19399203778008</v>
      </c>
      <c r="G29" s="94">
        <f t="shared" si="7"/>
        <v>249.28257037132917</v>
      </c>
      <c r="H29" s="94">
        <f t="shared" si="7"/>
        <v>295.39738424515633</v>
      </c>
      <c r="I29" s="94">
        <f t="shared" si="7"/>
        <v>302.50628186907971</v>
      </c>
      <c r="J29" s="94">
        <f t="shared" si="7"/>
        <v>334.56915967087161</v>
      </c>
      <c r="K29" s="94">
        <f t="shared" si="7"/>
        <v>317.60943268294727</v>
      </c>
      <c r="L29" s="94">
        <f t="shared" si="7"/>
        <v>301.50941535800524</v>
      </c>
      <c r="M29" s="94">
        <f t="shared" si="7"/>
        <v>286.22552794354419</v>
      </c>
      <c r="N29" s="94">
        <f t="shared" si="7"/>
        <v>271.71639979894059</v>
      </c>
      <c r="O29" s="142">
        <f t="shared" si="7"/>
        <v>5089.9562928172591</v>
      </c>
      <c r="P29" s="73"/>
    </row>
    <row r="30" spans="1:17" ht="15.75" thickBot="1" x14ac:dyDescent="0.3">
      <c r="A30" s="73"/>
      <c r="B30" s="143" t="s">
        <v>106</v>
      </c>
      <c r="C30" s="144" t="s">
        <v>45</v>
      </c>
      <c r="D30" s="112">
        <f>D27+D28</f>
        <v>7641.966456794913</v>
      </c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73"/>
    </row>
    <row r="31" spans="1:17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17" x14ac:dyDescent="0.25">
      <c r="A32">
        <v>2</v>
      </c>
      <c r="B32" s="155" t="s">
        <v>123</v>
      </c>
      <c r="C32" s="29"/>
      <c r="D32" s="29"/>
      <c r="E32" s="29"/>
      <c r="F32" s="29"/>
      <c r="G32" s="73"/>
      <c r="H32" s="73"/>
      <c r="I32" s="73"/>
      <c r="J32" s="73"/>
      <c r="K32" s="73"/>
      <c r="L32" s="73"/>
      <c r="M32" s="73"/>
      <c r="N32" s="73"/>
      <c r="O32" s="73"/>
    </row>
    <row r="33" spans="2:15" ht="23.25" customHeight="1" x14ac:dyDescent="0.25">
      <c r="B33" s="125"/>
      <c r="C33" s="104"/>
      <c r="D33" s="104"/>
      <c r="E33" s="106" t="s">
        <v>56</v>
      </c>
      <c r="F33" s="104">
        <v>1</v>
      </c>
      <c r="G33" s="104">
        <f t="shared" ref="G33:O33" si="8">F33+1</f>
        <v>2</v>
      </c>
      <c r="H33" s="104">
        <f t="shared" si="8"/>
        <v>3</v>
      </c>
      <c r="I33" s="104">
        <f t="shared" si="8"/>
        <v>4</v>
      </c>
      <c r="J33" s="104">
        <f t="shared" si="8"/>
        <v>5</v>
      </c>
      <c r="K33" s="104">
        <f t="shared" si="8"/>
        <v>6</v>
      </c>
      <c r="L33" s="104">
        <f t="shared" si="8"/>
        <v>7</v>
      </c>
      <c r="M33" s="104">
        <f t="shared" si="8"/>
        <v>8</v>
      </c>
      <c r="N33" s="104">
        <f t="shared" si="8"/>
        <v>9</v>
      </c>
      <c r="O33" s="126">
        <f t="shared" si="8"/>
        <v>10</v>
      </c>
    </row>
    <row r="34" spans="2:15" ht="20.100000000000001" customHeight="1" x14ac:dyDescent="0.25">
      <c r="B34" s="127"/>
      <c r="C34" s="102"/>
      <c r="D34" s="102" t="s">
        <v>114</v>
      </c>
      <c r="E34" s="107">
        <v>2025</v>
      </c>
      <c r="F34" s="103">
        <f>E34+1</f>
        <v>2026</v>
      </c>
      <c r="G34" s="103">
        <f t="shared" ref="G34:O34" si="9">F34+1</f>
        <v>2027</v>
      </c>
      <c r="H34" s="103">
        <f t="shared" si="9"/>
        <v>2028</v>
      </c>
      <c r="I34" s="103">
        <f t="shared" si="9"/>
        <v>2029</v>
      </c>
      <c r="J34" s="103">
        <f t="shared" si="9"/>
        <v>2030</v>
      </c>
      <c r="K34" s="103">
        <f t="shared" si="9"/>
        <v>2031</v>
      </c>
      <c r="L34" s="103">
        <f t="shared" si="9"/>
        <v>2032</v>
      </c>
      <c r="M34" s="103">
        <f t="shared" si="9"/>
        <v>2033</v>
      </c>
      <c r="N34" s="103">
        <f t="shared" si="9"/>
        <v>2034</v>
      </c>
      <c r="O34" s="128">
        <f t="shared" si="9"/>
        <v>2035</v>
      </c>
    </row>
    <row r="35" spans="2:15" ht="20.100000000000001" customHeight="1" x14ac:dyDescent="0.25">
      <c r="B35" s="129" t="s">
        <v>102</v>
      </c>
      <c r="C35" s="130" t="s">
        <v>75</v>
      </c>
      <c r="D35" s="130"/>
      <c r="E35" s="108"/>
      <c r="F35" s="131">
        <f>IF(F$18&gt;=6,'① Assumptions'!$C$48,IF(F$18&gt;=2,'① Assumptions'!$C$47,'① Assumptions'!$C$46))</f>
        <v>0</v>
      </c>
      <c r="G35" s="131">
        <f>IF(G$18&gt;=6,'① Assumptions'!$C$48,IF(G$18&gt;=2,'① Assumptions'!$C$47,'① Assumptions'!$C$46))</f>
        <v>0</v>
      </c>
      <c r="H35" s="131">
        <f>IF(H$18&gt;=6,'① Assumptions'!$C$48,IF(H$18&gt;=2,'① Assumptions'!$C$47,'① Assumptions'!$C$46))</f>
        <v>0</v>
      </c>
      <c r="I35" s="131">
        <f>IF(I$18&gt;=6,'① Assumptions'!$C$48,IF(I$18&gt;=2,'① Assumptions'!$C$47,'① Assumptions'!$C$46))</f>
        <v>0</v>
      </c>
      <c r="J35" s="131">
        <f>IF(J$18&gt;=6,'① Assumptions'!$C$48,IF(J$18&gt;=2,'① Assumptions'!$C$47,'① Assumptions'!$C$46))</f>
        <v>0</v>
      </c>
      <c r="K35" s="131">
        <f>IF(K$18&gt;=6,'① Assumptions'!$C$48,IF(K$18&gt;=2,'① Assumptions'!$C$47,'① Assumptions'!$C$46))</f>
        <v>0.03</v>
      </c>
      <c r="L35" s="131">
        <f>IF(L$18&gt;=6,'① Assumptions'!$C$48,IF(L$18&gt;=2,'① Assumptions'!$C$47,'① Assumptions'!$C$46))</f>
        <v>0.03</v>
      </c>
      <c r="M35" s="131">
        <f>IF(M$18&gt;=6,'① Assumptions'!$C$48,IF(M$18&gt;=2,'① Assumptions'!$C$47,'① Assumptions'!$C$46))</f>
        <v>0.03</v>
      </c>
      <c r="N35" s="131">
        <f>IF(N$18&gt;=6,'① Assumptions'!$C$48,IF(N$18&gt;=2,'① Assumptions'!$C$47,'① Assumptions'!$C$46))</f>
        <v>0.03</v>
      </c>
      <c r="O35" s="132">
        <f>IF(O$18&gt;=6,'① Assumptions'!$C$48,IF(O$18&gt;=2,'① Assumptions'!$C$47,'① Assumptions'!$C$46))</f>
        <v>0.03</v>
      </c>
    </row>
    <row r="36" spans="2:15" ht="20.100000000000001" customHeight="1" x14ac:dyDescent="0.25">
      <c r="B36" s="246" t="s">
        <v>172</v>
      </c>
      <c r="C36" s="93" t="s">
        <v>44</v>
      </c>
      <c r="D36" s="242">
        <f>SUM(F36:O36)</f>
        <v>5431045.9305800004</v>
      </c>
      <c r="E36" s="243">
        <f>E21</f>
        <v>657564</v>
      </c>
      <c r="F36" s="255">
        <f>F21</f>
        <v>250000</v>
      </c>
      <c r="G36" s="244">
        <f t="shared" ref="G36:O36" si="10">G21</f>
        <v>350000</v>
      </c>
      <c r="H36" s="244">
        <f t="shared" si="10"/>
        <v>450000</v>
      </c>
      <c r="I36" s="244">
        <f t="shared" si="10"/>
        <v>500000</v>
      </c>
      <c r="J36" s="244">
        <f t="shared" si="10"/>
        <v>600000</v>
      </c>
      <c r="K36" s="244">
        <f t="shared" si="10"/>
        <v>618000</v>
      </c>
      <c r="L36" s="244">
        <f t="shared" si="10"/>
        <v>636540</v>
      </c>
      <c r="M36" s="244">
        <f t="shared" si="10"/>
        <v>655636.20000000007</v>
      </c>
      <c r="N36" s="244">
        <f t="shared" si="10"/>
        <v>675305.28600000008</v>
      </c>
      <c r="O36" s="245">
        <f t="shared" si="10"/>
        <v>695564.44458000013</v>
      </c>
    </row>
    <row r="37" spans="2:15" ht="20.100000000000001" customHeight="1" x14ac:dyDescent="0.25">
      <c r="B37" s="133" t="s">
        <v>108</v>
      </c>
      <c r="C37" s="87" t="s">
        <v>44</v>
      </c>
      <c r="D37" s="134">
        <f>SUM(F37:O37)</f>
        <v>13026025.053043636</v>
      </c>
      <c r="E37" s="109"/>
      <c r="F37" s="135"/>
      <c r="G37" s="135"/>
      <c r="H37" s="135"/>
      <c r="I37" s="135"/>
      <c r="J37" s="135"/>
      <c r="K37" s="135"/>
      <c r="L37" s="135"/>
      <c r="M37" s="135"/>
      <c r="N37" s="135"/>
      <c r="O37" s="136">
        <f>(O36*(1+'① Assumptions'!$C$45))/('① Assumptions'!C44-'① Assumptions'!C45)</f>
        <v>13026025.053043636</v>
      </c>
    </row>
    <row r="38" spans="2:15" ht="20.100000000000001" customHeight="1" x14ac:dyDescent="0.25">
      <c r="B38" s="129" t="s">
        <v>79</v>
      </c>
      <c r="C38" s="130" t="s">
        <v>103</v>
      </c>
      <c r="D38" s="130"/>
      <c r="E38" s="109">
        <f>'Results&amp;Guidance'!$D$7</f>
        <v>1192660</v>
      </c>
      <c r="F38" s="137">
        <f>'① Assumptions'!$C$41</f>
        <v>1182799.4562614453</v>
      </c>
      <c r="G38" s="137">
        <f>'① Assumptions'!$C$41</f>
        <v>1182799.4562614453</v>
      </c>
      <c r="H38" s="137">
        <f>'① Assumptions'!$C$41</f>
        <v>1182799.4562614453</v>
      </c>
      <c r="I38" s="137">
        <f>'① Assumptions'!$C$41</f>
        <v>1182799.4562614453</v>
      </c>
      <c r="J38" s="137">
        <f>'① Assumptions'!$C$41</f>
        <v>1182799.4562614453</v>
      </c>
      <c r="K38" s="137">
        <f>'① Assumptions'!$C$41</f>
        <v>1182799.4562614453</v>
      </c>
      <c r="L38" s="137">
        <f>'① Assumptions'!$C$41</f>
        <v>1182799.4562614453</v>
      </c>
      <c r="M38" s="137">
        <f>'① Assumptions'!$C$41</f>
        <v>1182799.4562614453</v>
      </c>
      <c r="N38" s="137">
        <f>'① Assumptions'!$C$41</f>
        <v>1182799.4562614453</v>
      </c>
      <c r="O38" s="138">
        <f>'① Assumptions'!$C$41</f>
        <v>1182799.4562614453</v>
      </c>
    </row>
    <row r="39" spans="2:15" ht="20.100000000000001" customHeight="1" x14ac:dyDescent="0.25">
      <c r="B39" s="133" t="s">
        <v>104</v>
      </c>
      <c r="C39" s="87" t="s">
        <v>70</v>
      </c>
      <c r="D39" s="87"/>
      <c r="E39" s="109"/>
      <c r="F39" s="254">
        <f>F36*10^3/F$38</f>
        <v>211.36296493590893</v>
      </c>
      <c r="G39" s="135">
        <f t="shared" ref="G39:O39" si="11">G36*10^3/G$38</f>
        <v>295.90815091027247</v>
      </c>
      <c r="H39" s="135">
        <f t="shared" si="11"/>
        <v>380.45333688463603</v>
      </c>
      <c r="I39" s="135">
        <f t="shared" si="11"/>
        <v>422.72592987181787</v>
      </c>
      <c r="J39" s="135">
        <f t="shared" si="11"/>
        <v>507.27111584618143</v>
      </c>
      <c r="K39" s="135">
        <f t="shared" si="11"/>
        <v>522.48924932156683</v>
      </c>
      <c r="L39" s="135">
        <f t="shared" si="11"/>
        <v>538.16392680121385</v>
      </c>
      <c r="M39" s="135">
        <f t="shared" si="11"/>
        <v>554.30884460525033</v>
      </c>
      <c r="N39" s="135">
        <f t="shared" si="11"/>
        <v>570.93810994340788</v>
      </c>
      <c r="O39" s="136">
        <f t="shared" si="11"/>
        <v>588.06625324171011</v>
      </c>
    </row>
    <row r="40" spans="2:15" ht="20.100000000000001" customHeight="1" x14ac:dyDescent="0.25">
      <c r="B40" s="133" t="s">
        <v>110</v>
      </c>
      <c r="C40" s="87" t="s">
        <v>70</v>
      </c>
      <c r="D40" s="87"/>
      <c r="E40" s="109"/>
      <c r="F40" s="135">
        <f t="shared" ref="F40:N40" si="12">F37*10^3/F$38</f>
        <v>0</v>
      </c>
      <c r="G40" s="135">
        <f t="shared" si="12"/>
        <v>0</v>
      </c>
      <c r="H40" s="135">
        <f t="shared" si="12"/>
        <v>0</v>
      </c>
      <c r="I40" s="135">
        <f t="shared" si="12"/>
        <v>0</v>
      </c>
      <c r="J40" s="135">
        <f t="shared" si="12"/>
        <v>0</v>
      </c>
      <c r="K40" s="135">
        <f t="shared" si="12"/>
        <v>0</v>
      </c>
      <c r="L40" s="135">
        <f t="shared" si="12"/>
        <v>0</v>
      </c>
      <c r="M40" s="135">
        <f t="shared" si="12"/>
        <v>0</v>
      </c>
      <c r="N40" s="135">
        <f t="shared" si="12"/>
        <v>0</v>
      </c>
      <c r="O40" s="136">
        <f>O37*(1+'① Assumptions'!$C$45)*10^3/O$38</f>
        <v>11343.263419347821</v>
      </c>
    </row>
    <row r="41" spans="2:15" x14ac:dyDescent="0.25">
      <c r="B41" s="129" t="s">
        <v>105</v>
      </c>
      <c r="C41" s="130" t="s">
        <v>107</v>
      </c>
      <c r="D41" s="130"/>
      <c r="E41" s="110">
        <v>1</v>
      </c>
      <c r="F41" s="139">
        <f>E41/(1+'① Assumptions'!$C$44)</f>
        <v>0.92165898617511521</v>
      </c>
      <c r="G41" s="139">
        <f>F41/(1+'① Assumptions'!$C$44)</f>
        <v>0.84945528679734128</v>
      </c>
      <c r="H41" s="139">
        <f>G41/(1+'① Assumptions'!$C$44)</f>
        <v>0.78290809843072928</v>
      </c>
      <c r="I41" s="139">
        <f>H41/(1+'① Assumptions'!$C$44)</f>
        <v>0.72157428426795323</v>
      </c>
      <c r="J41" s="139">
        <f>I41/(1+'① Assumptions'!$C$44)</f>
        <v>0.66504542328843619</v>
      </c>
      <c r="K41" s="139">
        <f>J41/(1+'① Assumptions'!$C$44)</f>
        <v>0.6129450905884205</v>
      </c>
      <c r="L41" s="139">
        <f>K41/(1+'① Assumptions'!$C$44)</f>
        <v>0.56492635077273778</v>
      </c>
      <c r="M41" s="139">
        <f>L41/(1+'① Assumptions'!$C$44)</f>
        <v>0.52066944771680901</v>
      </c>
      <c r="N41" s="139">
        <f>M41/(1+'① Assumptions'!$C$44)</f>
        <v>0.47987967531503134</v>
      </c>
      <c r="O41" s="140">
        <f>N41/(1+'① Assumptions'!$C$44)</f>
        <v>0.44228541503689528</v>
      </c>
    </row>
    <row r="42" spans="2:15" x14ac:dyDescent="0.25">
      <c r="B42" s="133" t="s">
        <v>111</v>
      </c>
      <c r="C42" s="87" t="s">
        <v>45</v>
      </c>
      <c r="D42" s="134">
        <f>SUM(F42:O42)</f>
        <v>2833.378417181812</v>
      </c>
      <c r="E42" s="108"/>
      <c r="F42" s="135">
        <f t="shared" ref="F42:O42" si="13">F$41*F39</f>
        <v>194.80457597779625</v>
      </c>
      <c r="G42" s="135">
        <f t="shared" si="13"/>
        <v>251.36074319715644</v>
      </c>
      <c r="H42" s="135">
        <f t="shared" si="13"/>
        <v>297.85999852197602</v>
      </c>
      <c r="I42" s="135">
        <f t="shared" si="13"/>
        <v>305.02816028876197</v>
      </c>
      <c r="J42" s="135">
        <f t="shared" si="13"/>
        <v>337.35833395992108</v>
      </c>
      <c r="K42" s="135">
        <f t="shared" si="13"/>
        <v>320.25722025688361</v>
      </c>
      <c r="L42" s="135">
        <f t="shared" si="13"/>
        <v>304.02298328533652</v>
      </c>
      <c r="M42" s="135">
        <f t="shared" si="13"/>
        <v>288.61167998515822</v>
      </c>
      <c r="N42" s="135">
        <f t="shared" si="13"/>
        <v>273.98159482462023</v>
      </c>
      <c r="O42" s="136">
        <f t="shared" si="13"/>
        <v>260.09312688420169</v>
      </c>
    </row>
    <row r="43" spans="2:15" x14ac:dyDescent="0.25">
      <c r="B43" s="133" t="s">
        <v>112</v>
      </c>
      <c r="C43" s="87" t="s">
        <v>45</v>
      </c>
      <c r="D43" s="134">
        <f>SUM(F43:O43)</f>
        <v>5016.9599692990823</v>
      </c>
      <c r="E43" s="108"/>
      <c r="F43" s="135">
        <f t="shared" ref="F43:O43" si="14">F$41*F40</f>
        <v>0</v>
      </c>
      <c r="G43" s="135">
        <f t="shared" si="14"/>
        <v>0</v>
      </c>
      <c r="H43" s="135">
        <f t="shared" si="14"/>
        <v>0</v>
      </c>
      <c r="I43" s="135">
        <f t="shared" si="14"/>
        <v>0</v>
      </c>
      <c r="J43" s="135">
        <f t="shared" si="14"/>
        <v>0</v>
      </c>
      <c r="K43" s="135">
        <f t="shared" si="14"/>
        <v>0</v>
      </c>
      <c r="L43" s="135">
        <f t="shared" si="14"/>
        <v>0</v>
      </c>
      <c r="M43" s="135">
        <f t="shared" si="14"/>
        <v>0</v>
      </c>
      <c r="N43" s="135">
        <f t="shared" si="14"/>
        <v>0</v>
      </c>
      <c r="O43" s="136">
        <f t="shared" si="14"/>
        <v>5016.9599692990823</v>
      </c>
    </row>
    <row r="44" spans="2:15" ht="15.75" thickBot="1" x14ac:dyDescent="0.3">
      <c r="B44" s="141" t="s">
        <v>113</v>
      </c>
      <c r="C44" s="90" t="s">
        <v>45</v>
      </c>
      <c r="D44" s="93"/>
      <c r="E44" s="111"/>
      <c r="F44" s="94">
        <f t="shared" ref="F44:O44" si="15">SUM(F42:F43)</f>
        <v>194.80457597779625</v>
      </c>
      <c r="G44" s="94">
        <f t="shared" si="15"/>
        <v>251.36074319715644</v>
      </c>
      <c r="H44" s="94">
        <f t="shared" si="15"/>
        <v>297.85999852197602</v>
      </c>
      <c r="I44" s="94">
        <f t="shared" si="15"/>
        <v>305.02816028876197</v>
      </c>
      <c r="J44" s="94">
        <f t="shared" si="15"/>
        <v>337.35833395992108</v>
      </c>
      <c r="K44" s="94">
        <f t="shared" si="15"/>
        <v>320.25722025688361</v>
      </c>
      <c r="L44" s="94">
        <f t="shared" si="15"/>
        <v>304.02298328533652</v>
      </c>
      <c r="M44" s="94">
        <f t="shared" si="15"/>
        <v>288.61167998515822</v>
      </c>
      <c r="N44" s="94">
        <f t="shared" si="15"/>
        <v>273.98159482462023</v>
      </c>
      <c r="O44" s="142">
        <f t="shared" si="15"/>
        <v>5277.0530961832837</v>
      </c>
    </row>
    <row r="45" spans="2:15" ht="15.75" thickBot="1" x14ac:dyDescent="0.3">
      <c r="B45" s="143" t="s">
        <v>106</v>
      </c>
      <c r="C45" s="144" t="s">
        <v>45</v>
      </c>
      <c r="D45" s="112">
        <f>D42+D43</f>
        <v>7850.3383864808948</v>
      </c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</row>
  </sheetData>
  <phoneticPr fontId="19"/>
  <conditionalFormatting sqref="C12:D13">
    <cfRule type="cellIs" dxfId="1" priority="4" operator="greaterThan">
      <formula>0</formula>
    </cfRule>
    <cfRule type="cellIs" dxfId="0" priority="5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9065-B396-47FF-82AB-A73A53AD202D}">
  <sheetPr>
    <tabColor theme="1"/>
  </sheetPr>
  <dimension ref="A1"/>
  <sheetViews>
    <sheetView showGridLines="0" workbookViewId="0">
      <selection activeCell="C48" sqref="C48"/>
    </sheetView>
  </sheetViews>
  <sheetFormatPr defaultRowHeight="15" x14ac:dyDescent="0.25"/>
  <sheetData/>
  <phoneticPr fontId="19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452C4-CD9F-4FE2-B27D-B9CCC31E120B}">
  <dimension ref="A1:D53"/>
  <sheetViews>
    <sheetView workbookViewId="0">
      <pane xSplit="1" ySplit="1" topLeftCell="B15" activePane="bottomRight" state="frozen"/>
      <selection pane="topRight"/>
      <selection pane="bottomLeft"/>
      <selection pane="bottomRight" activeCell="E39" sqref="E39"/>
    </sheetView>
  </sheetViews>
  <sheetFormatPr defaultRowHeight="13.5" x14ac:dyDescent="0.15"/>
  <cols>
    <col min="1" max="1" width="80" style="224" customWidth="1"/>
    <col min="2" max="4" width="22.85546875" style="224" customWidth="1"/>
    <col min="5" max="16384" width="9.140625" style="224"/>
  </cols>
  <sheetData>
    <row r="1" spans="1:4" x14ac:dyDescent="0.15">
      <c r="A1" s="224" t="s">
        <v>154</v>
      </c>
      <c r="B1" s="224" t="s">
        <v>174</v>
      </c>
      <c r="C1" s="224" t="s">
        <v>175</v>
      </c>
      <c r="D1" s="224" t="s">
        <v>176</v>
      </c>
    </row>
    <row r="2" spans="1:4" x14ac:dyDescent="0.15">
      <c r="A2" s="224" t="s">
        <v>177</v>
      </c>
      <c r="B2" s="224">
        <v>667852</v>
      </c>
      <c r="C2" s="224">
        <v>570617</v>
      </c>
      <c r="D2" s="224">
        <v>1005442</v>
      </c>
    </row>
    <row r="3" spans="1:4" x14ac:dyDescent="0.15">
      <c r="A3" s="224" t="s">
        <v>178</v>
      </c>
      <c r="B3" s="224">
        <v>10447</v>
      </c>
      <c r="C3" s="224">
        <v>11626</v>
      </c>
      <c r="D3" s="224">
        <v>24451</v>
      </c>
    </row>
    <row r="4" spans="1:4" x14ac:dyDescent="0.15">
      <c r="A4" s="224" t="s">
        <v>179</v>
      </c>
      <c r="B4" s="224">
        <v>12896</v>
      </c>
      <c r="C4" s="224">
        <v>7662</v>
      </c>
      <c r="D4" s="224">
        <v>3068</v>
      </c>
    </row>
    <row r="5" spans="1:4" x14ac:dyDescent="0.15">
      <c r="A5" s="224" t="s">
        <v>180</v>
      </c>
      <c r="B5" s="224">
        <v>1912657</v>
      </c>
      <c r="C5" s="224">
        <v>2028193</v>
      </c>
      <c r="D5" s="224">
        <v>2413828</v>
      </c>
    </row>
    <row r="6" spans="1:4" x14ac:dyDescent="0.15">
      <c r="A6" s="224" t="s">
        <v>181</v>
      </c>
      <c r="B6" s="224">
        <v>74295</v>
      </c>
      <c r="C6" s="224">
        <v>23544</v>
      </c>
      <c r="D6" s="224">
        <v>18885</v>
      </c>
    </row>
    <row r="7" spans="1:4" x14ac:dyDescent="0.15">
      <c r="A7" s="224" t="s">
        <v>182</v>
      </c>
      <c r="B7" s="224">
        <v>176934</v>
      </c>
      <c r="C7" s="224">
        <v>157864</v>
      </c>
      <c r="D7" s="224">
        <v>549998</v>
      </c>
    </row>
    <row r="8" spans="1:4" x14ac:dyDescent="0.15">
      <c r="A8" s="224" t="s">
        <v>183</v>
      </c>
      <c r="B8" s="224">
        <v>1486770</v>
      </c>
      <c r="C8" s="224">
        <v>1653842</v>
      </c>
      <c r="D8" s="224">
        <v>1782040</v>
      </c>
    </row>
    <row r="9" spans="1:4" x14ac:dyDescent="0.15">
      <c r="A9" s="224" t="s">
        <v>184</v>
      </c>
      <c r="B9" s="224">
        <v>131137</v>
      </c>
      <c r="C9" s="224">
        <v>144733</v>
      </c>
      <c r="D9" s="224">
        <v>167139</v>
      </c>
    </row>
    <row r="10" spans="1:4" x14ac:dyDescent="0.15">
      <c r="A10" s="224" t="s">
        <v>185</v>
      </c>
      <c r="B10" s="224">
        <v>7058</v>
      </c>
      <c r="C10" s="224">
        <v>4622</v>
      </c>
      <c r="D10" s="224">
        <v>9431</v>
      </c>
    </row>
    <row r="11" spans="1:4" x14ac:dyDescent="0.15">
      <c r="A11" s="224" t="s">
        <v>186</v>
      </c>
      <c r="B11" s="224">
        <v>457892</v>
      </c>
      <c r="C11" s="224">
        <v>471429</v>
      </c>
      <c r="D11" s="224">
        <v>661392</v>
      </c>
    </row>
    <row r="12" spans="1:4" x14ac:dyDescent="0.15">
      <c r="A12" s="224" t="s">
        <v>187</v>
      </c>
      <c r="B12" s="224">
        <v>4937938</v>
      </c>
      <c r="C12" s="224">
        <v>5074132</v>
      </c>
      <c r="D12" s="224">
        <v>6635674</v>
      </c>
    </row>
    <row r="13" spans="1:4" x14ac:dyDescent="0.15">
      <c r="A13" s="224" t="s">
        <v>188</v>
      </c>
      <c r="B13" s="224">
        <v>2857899</v>
      </c>
      <c r="C13" s="224">
        <v>3010489</v>
      </c>
      <c r="D13" s="224">
        <v>3286754</v>
      </c>
    </row>
    <row r="14" spans="1:4" x14ac:dyDescent="0.15">
      <c r="A14" s="224" t="s">
        <v>189</v>
      </c>
      <c r="B14" s="224">
        <v>485540</v>
      </c>
      <c r="C14" s="224">
        <v>437632</v>
      </c>
      <c r="D14" s="224">
        <v>478667</v>
      </c>
    </row>
    <row r="15" spans="1:4" x14ac:dyDescent="0.15">
      <c r="A15" s="224" t="s">
        <v>190</v>
      </c>
      <c r="B15" s="224">
        <v>499122</v>
      </c>
      <c r="C15" s="224">
        <v>492508</v>
      </c>
      <c r="D15" s="224">
        <v>507499</v>
      </c>
    </row>
    <row r="16" spans="1:4" x14ac:dyDescent="0.15">
      <c r="A16" s="224" t="s">
        <v>191</v>
      </c>
      <c r="B16" s="224">
        <v>228372</v>
      </c>
      <c r="C16" s="224">
        <v>206131</v>
      </c>
      <c r="D16" s="224">
        <v>231384</v>
      </c>
    </row>
    <row r="17" spans="1:4" x14ac:dyDescent="0.15">
      <c r="A17" s="224" t="s">
        <v>192</v>
      </c>
      <c r="B17" s="224">
        <v>1152019</v>
      </c>
      <c r="C17" s="224">
        <v>1232605</v>
      </c>
      <c r="D17" s="224">
        <v>1273340</v>
      </c>
    </row>
    <row r="18" spans="1:4" x14ac:dyDescent="0.15">
      <c r="A18" s="224" t="s">
        <v>193</v>
      </c>
      <c r="B18" s="224">
        <v>349829</v>
      </c>
      <c r="C18" s="224">
        <v>640729</v>
      </c>
      <c r="D18" s="224">
        <v>668371</v>
      </c>
    </row>
    <row r="19" spans="1:4" x14ac:dyDescent="0.15">
      <c r="A19" s="224" t="s">
        <v>194</v>
      </c>
      <c r="B19" s="224">
        <v>361774</v>
      </c>
      <c r="C19" s="224">
        <v>380315</v>
      </c>
      <c r="D19" s="224">
        <v>402624</v>
      </c>
    </row>
    <row r="20" spans="1:4" x14ac:dyDescent="0.15">
      <c r="A20" s="224" t="s">
        <v>195</v>
      </c>
      <c r="B20" s="224">
        <v>39635</v>
      </c>
      <c r="C20" s="224">
        <v>36803</v>
      </c>
      <c r="D20" s="224">
        <v>32274</v>
      </c>
    </row>
    <row r="21" spans="1:4" x14ac:dyDescent="0.15">
      <c r="A21" s="224" t="s">
        <v>196</v>
      </c>
      <c r="B21" s="224">
        <v>47055</v>
      </c>
      <c r="C21" s="224">
        <v>48246</v>
      </c>
      <c r="D21" s="224">
        <v>51818</v>
      </c>
    </row>
    <row r="22" spans="1:4" x14ac:dyDescent="0.15">
      <c r="A22" s="224" t="s">
        <v>197</v>
      </c>
      <c r="B22" s="224">
        <v>73400</v>
      </c>
      <c r="C22" s="224">
        <v>71571</v>
      </c>
      <c r="D22" s="224">
        <v>69933</v>
      </c>
    </row>
    <row r="23" spans="1:4" x14ac:dyDescent="0.15">
      <c r="A23" s="224" t="s">
        <v>198</v>
      </c>
      <c r="B23" s="224">
        <v>6094645</v>
      </c>
      <c r="C23" s="224">
        <v>6557029</v>
      </c>
      <c r="D23" s="224">
        <v>7002664</v>
      </c>
    </row>
    <row r="24" spans="1:4" x14ac:dyDescent="0.15">
      <c r="A24" s="224" t="s">
        <v>199</v>
      </c>
      <c r="B24" s="224">
        <v>11032583</v>
      </c>
      <c r="C24" s="224">
        <v>11631161</v>
      </c>
      <c r="D24" s="224">
        <v>13638338</v>
      </c>
    </row>
    <row r="25" spans="1:4" x14ac:dyDescent="0.15">
      <c r="A25" s="224" t="s">
        <v>200</v>
      </c>
      <c r="B25" s="224">
        <v>745186</v>
      </c>
      <c r="C25" s="224">
        <v>580054</v>
      </c>
      <c r="D25" s="224">
        <v>951667</v>
      </c>
    </row>
    <row r="26" spans="1:4" x14ac:dyDescent="0.15">
      <c r="A26" s="224" t="s">
        <v>201</v>
      </c>
      <c r="B26" s="224">
        <v>1713936</v>
      </c>
      <c r="C26" s="224">
        <v>1822237</v>
      </c>
      <c r="D26" s="224">
        <v>2466420</v>
      </c>
    </row>
    <row r="27" spans="1:4" x14ac:dyDescent="0.15">
      <c r="A27" s="224" t="s">
        <v>202</v>
      </c>
      <c r="B27" s="224">
        <v>77651</v>
      </c>
      <c r="C27" s="224">
        <v>88880</v>
      </c>
      <c r="D27" s="224">
        <v>87410</v>
      </c>
    </row>
    <row r="28" spans="1:4" x14ac:dyDescent="0.15">
      <c r="A28" s="224" t="s">
        <v>203</v>
      </c>
      <c r="B28" s="224">
        <v>139118</v>
      </c>
      <c r="C28" s="224">
        <v>113971</v>
      </c>
      <c r="D28" s="224">
        <v>461059</v>
      </c>
    </row>
    <row r="29" spans="1:4" x14ac:dyDescent="0.15">
      <c r="A29" s="224" t="s">
        <v>204</v>
      </c>
      <c r="B29" s="224">
        <v>46068</v>
      </c>
      <c r="C29" s="224">
        <v>56033</v>
      </c>
      <c r="D29" s="224">
        <v>63005</v>
      </c>
    </row>
    <row r="30" spans="1:4" x14ac:dyDescent="0.15">
      <c r="A30" s="224" t="s">
        <v>205</v>
      </c>
      <c r="B30" s="224">
        <v>147383</v>
      </c>
      <c r="C30" s="224">
        <v>149318</v>
      </c>
      <c r="D30" s="224">
        <v>169658</v>
      </c>
    </row>
    <row r="31" spans="1:4" x14ac:dyDescent="0.15">
      <c r="A31" s="224" t="s">
        <v>206</v>
      </c>
      <c r="B31" s="224">
        <v>133999</v>
      </c>
      <c r="C31" s="224">
        <v>191147</v>
      </c>
      <c r="D31" s="224">
        <v>204937</v>
      </c>
    </row>
    <row r="32" spans="1:4" x14ac:dyDescent="0.15">
      <c r="A32" s="224" t="s">
        <v>207</v>
      </c>
      <c r="B32" s="224">
        <v>24689</v>
      </c>
      <c r="C32" s="224">
        <v>33392</v>
      </c>
      <c r="D32" s="224">
        <v>30748</v>
      </c>
    </row>
    <row r="33" spans="1:4" x14ac:dyDescent="0.15">
      <c r="A33" s="224" t="s">
        <v>208</v>
      </c>
      <c r="D33" s="224">
        <v>5245</v>
      </c>
    </row>
    <row r="34" spans="1:4" x14ac:dyDescent="0.15">
      <c r="A34" s="224" t="s">
        <v>209</v>
      </c>
      <c r="B34" s="224">
        <v>112553</v>
      </c>
      <c r="C34" s="224">
        <v>226608</v>
      </c>
      <c r="D34" s="224">
        <v>385438</v>
      </c>
    </row>
    <row r="35" spans="1:4" x14ac:dyDescent="0.15">
      <c r="A35" s="224" t="s">
        <v>210</v>
      </c>
      <c r="B35" s="224">
        <v>3140583</v>
      </c>
      <c r="C35" s="224">
        <v>3261640</v>
      </c>
      <c r="D35" s="224">
        <v>4825587</v>
      </c>
    </row>
    <row r="36" spans="1:4" x14ac:dyDescent="0.15">
      <c r="A36" s="224" t="s">
        <v>211</v>
      </c>
      <c r="B36" s="224">
        <v>2456547</v>
      </c>
      <c r="C36" s="224">
        <v>2674690</v>
      </c>
      <c r="D36" s="224">
        <v>3225446</v>
      </c>
    </row>
    <row r="37" spans="1:4" x14ac:dyDescent="0.15">
      <c r="A37" s="224" t="s">
        <v>212</v>
      </c>
      <c r="B37" s="224">
        <v>50796</v>
      </c>
      <c r="C37" s="224">
        <v>52262</v>
      </c>
      <c r="D37" s="224">
        <v>62958</v>
      </c>
    </row>
    <row r="38" spans="1:4" x14ac:dyDescent="0.15">
      <c r="A38" s="224" t="s">
        <v>213</v>
      </c>
      <c r="B38" s="224">
        <v>427457</v>
      </c>
      <c r="C38" s="224">
        <v>440014</v>
      </c>
      <c r="D38" s="224">
        <v>442120</v>
      </c>
    </row>
    <row r="39" spans="1:4" x14ac:dyDescent="0.15">
      <c r="A39" s="224" t="s">
        <v>214</v>
      </c>
      <c r="B39" s="224">
        <v>60245</v>
      </c>
      <c r="C39" s="224">
        <v>86841</v>
      </c>
      <c r="D39" s="224">
        <v>133865</v>
      </c>
    </row>
    <row r="40" spans="1:4" x14ac:dyDescent="0.15">
      <c r="A40" s="224" t="s">
        <v>215</v>
      </c>
      <c r="B40" s="224">
        <v>23644</v>
      </c>
      <c r="C40" s="224">
        <v>23030</v>
      </c>
      <c r="D40" s="224">
        <v>21478</v>
      </c>
    </row>
    <row r="41" spans="1:4" x14ac:dyDescent="0.15">
      <c r="A41" s="224" t="s">
        <v>216</v>
      </c>
      <c r="B41" s="224">
        <v>42839</v>
      </c>
      <c r="C41" s="224">
        <v>48051</v>
      </c>
      <c r="D41" s="224">
        <v>51935</v>
      </c>
    </row>
    <row r="42" spans="1:4" x14ac:dyDescent="0.15">
      <c r="A42" s="224" t="s">
        <v>217</v>
      </c>
      <c r="B42" s="224">
        <v>158168</v>
      </c>
      <c r="C42" s="224">
        <v>159075</v>
      </c>
      <c r="D42" s="224">
        <v>139795</v>
      </c>
    </row>
    <row r="43" spans="1:4" x14ac:dyDescent="0.15">
      <c r="A43" s="224" t="s">
        <v>218</v>
      </c>
      <c r="B43" s="224">
        <v>3219696</v>
      </c>
      <c r="C43" s="224">
        <v>3483963</v>
      </c>
      <c r="D43" s="224">
        <v>4077597</v>
      </c>
    </row>
    <row r="44" spans="1:4" x14ac:dyDescent="0.15">
      <c r="A44" s="224" t="s">
        <v>219</v>
      </c>
      <c r="B44" s="224">
        <v>6360279</v>
      </c>
      <c r="C44" s="224">
        <v>6745603</v>
      </c>
      <c r="D44" s="224">
        <v>8903184</v>
      </c>
    </row>
    <row r="45" spans="1:4" x14ac:dyDescent="0.15">
      <c r="A45" s="224" t="s">
        <v>220</v>
      </c>
      <c r="B45" s="224">
        <v>220423</v>
      </c>
      <c r="C45" s="224">
        <v>221023</v>
      </c>
      <c r="D45" s="224">
        <v>221651</v>
      </c>
    </row>
    <row r="46" spans="1:4" x14ac:dyDescent="0.15">
      <c r="A46" s="224" t="s">
        <v>221</v>
      </c>
      <c r="B46" s="224">
        <v>252709</v>
      </c>
      <c r="C46" s="224">
        <v>236087</v>
      </c>
      <c r="D46" s="224">
        <v>0</v>
      </c>
    </row>
    <row r="47" spans="1:4" x14ac:dyDescent="0.15">
      <c r="A47" s="224" t="s">
        <v>222</v>
      </c>
      <c r="B47" s="224">
        <v>-2733</v>
      </c>
      <c r="C47" s="224">
        <v>-4289</v>
      </c>
      <c r="D47" s="224">
        <v>-84115</v>
      </c>
    </row>
    <row r="48" spans="1:4" x14ac:dyDescent="0.15">
      <c r="A48" s="224" t="s">
        <v>223</v>
      </c>
      <c r="B48" s="224">
        <v>1077039</v>
      </c>
      <c r="C48" s="224">
        <v>897943</v>
      </c>
      <c r="D48" s="224">
        <v>1254962</v>
      </c>
    </row>
    <row r="49" spans="1:4" x14ac:dyDescent="0.15">
      <c r="A49" s="224" t="s">
        <v>224</v>
      </c>
      <c r="B49" s="224">
        <v>2898056</v>
      </c>
      <c r="C49" s="224">
        <v>3297698</v>
      </c>
      <c r="D49" s="224">
        <v>3236057</v>
      </c>
    </row>
    <row r="50" spans="1:4" x14ac:dyDescent="0.15">
      <c r="A50" s="224" t="s">
        <v>225</v>
      </c>
      <c r="B50" s="224">
        <v>4445494</v>
      </c>
      <c r="C50" s="224">
        <v>4648462</v>
      </c>
      <c r="D50" s="224">
        <v>4628555</v>
      </c>
    </row>
    <row r="51" spans="1:4" x14ac:dyDescent="0.15">
      <c r="A51" s="224" t="s">
        <v>226</v>
      </c>
      <c r="B51" s="224">
        <v>226810</v>
      </c>
      <c r="C51" s="224">
        <v>237096</v>
      </c>
      <c r="D51" s="224">
        <v>106599</v>
      </c>
    </row>
    <row r="52" spans="1:4" x14ac:dyDescent="0.15">
      <c r="A52" s="224" t="s">
        <v>227</v>
      </c>
      <c r="B52" s="224">
        <v>4672304</v>
      </c>
      <c r="C52" s="224">
        <v>4885558</v>
      </c>
      <c r="D52" s="224">
        <v>4735154</v>
      </c>
    </row>
    <row r="53" spans="1:4" x14ac:dyDescent="0.15">
      <c r="A53" s="224" t="s">
        <v>228</v>
      </c>
      <c r="B53" s="224">
        <v>11032583</v>
      </c>
      <c r="C53" s="224">
        <v>11631161</v>
      </c>
      <c r="D53" s="224">
        <v>13638338</v>
      </c>
    </row>
  </sheetData>
  <phoneticPr fontId="19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3275B-29D2-47F9-B5E7-29DE53F728E5}">
  <dimension ref="A1:D39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80" style="224" customWidth="1"/>
    <col min="2" max="4" width="22.85546875" style="224" customWidth="1"/>
    <col min="5" max="16384" width="9.140625" style="224"/>
  </cols>
  <sheetData>
    <row r="1" spans="1:4" x14ac:dyDescent="0.15">
      <c r="A1" s="224" t="s">
        <v>154</v>
      </c>
      <c r="B1" s="224" t="s">
        <v>174</v>
      </c>
      <c r="C1" s="224" t="s">
        <v>175</v>
      </c>
      <c r="D1" s="224" t="s">
        <v>176</v>
      </c>
    </row>
    <row r="2" spans="1:4" x14ac:dyDescent="0.15">
      <c r="A2" s="224" t="s">
        <v>229</v>
      </c>
      <c r="B2" s="224">
        <v>6223423</v>
      </c>
      <c r="C2" s="224">
        <v>6546879</v>
      </c>
      <c r="D2" s="224">
        <v>6508037</v>
      </c>
    </row>
    <row r="3" spans="1:4" x14ac:dyDescent="0.15">
      <c r="A3" s="224" t="s">
        <v>230</v>
      </c>
      <c r="B3" s="224">
        <v>686879</v>
      </c>
      <c r="C3" s="224">
        <v>745205</v>
      </c>
      <c r="D3" s="224">
        <v>829222</v>
      </c>
    </row>
    <row r="4" spans="1:4" x14ac:dyDescent="0.15">
      <c r="A4" s="224" t="s">
        <v>231</v>
      </c>
      <c r="B4" s="224">
        <v>6910302</v>
      </c>
      <c r="C4" s="224">
        <v>7292084</v>
      </c>
      <c r="D4" s="224">
        <v>7337259</v>
      </c>
    </row>
    <row r="5" spans="1:4" x14ac:dyDescent="0.15">
      <c r="A5" s="224" t="s">
        <v>232</v>
      </c>
      <c r="B5" s="224">
        <v>-5228493</v>
      </c>
      <c r="C5" s="224">
        <v>-5483312</v>
      </c>
      <c r="D5" s="224">
        <v>-5416127</v>
      </c>
    </row>
    <row r="6" spans="1:4" x14ac:dyDescent="0.15">
      <c r="A6" s="224" t="s">
        <v>233</v>
      </c>
      <c r="B6" s="224">
        <v>-339321</v>
      </c>
      <c r="C6" s="224">
        <v>-364017</v>
      </c>
      <c r="D6" s="224">
        <v>-411475</v>
      </c>
    </row>
    <row r="7" spans="1:4" x14ac:dyDescent="0.15">
      <c r="A7" s="224" t="s">
        <v>234</v>
      </c>
      <c r="B7" s="224">
        <v>-5567814</v>
      </c>
      <c r="C7" s="224">
        <v>-5847329</v>
      </c>
      <c r="D7" s="224">
        <v>-5827602</v>
      </c>
    </row>
    <row r="8" spans="1:4" x14ac:dyDescent="0.15">
      <c r="A8" s="224" t="s">
        <v>160</v>
      </c>
      <c r="B8" s="224">
        <v>1342488</v>
      </c>
      <c r="C8" s="224">
        <v>1444755</v>
      </c>
      <c r="D8" s="224">
        <v>1509657</v>
      </c>
    </row>
    <row r="9" spans="1:4" x14ac:dyDescent="0.15">
      <c r="A9" s="224" t="s">
        <v>235</v>
      </c>
      <c r="B9" s="224">
        <v>-927594</v>
      </c>
      <c r="C9" s="224">
        <v>-1039732</v>
      </c>
      <c r="D9" s="224">
        <v>-1111394</v>
      </c>
    </row>
    <row r="10" spans="1:4" x14ac:dyDescent="0.15">
      <c r="A10" s="224" t="s">
        <v>236</v>
      </c>
      <c r="B10" s="224">
        <v>-37412</v>
      </c>
      <c r="C10" s="224">
        <v>-7471</v>
      </c>
      <c r="D10" s="224">
        <v>-15168</v>
      </c>
    </row>
    <row r="11" spans="1:4" x14ac:dyDescent="0.15">
      <c r="A11" s="224" t="s">
        <v>237</v>
      </c>
      <c r="B11" s="224">
        <v>6752</v>
      </c>
      <c r="C11" s="224">
        <v>7255</v>
      </c>
      <c r="D11" s="224">
        <v>21167</v>
      </c>
    </row>
    <row r="12" spans="1:4" x14ac:dyDescent="0.15">
      <c r="A12" s="224" t="s">
        <v>238</v>
      </c>
      <c r="B12" s="224">
        <v>-30031</v>
      </c>
      <c r="C12" s="224">
        <v>-11928</v>
      </c>
      <c r="D12" s="224">
        <v>-2663</v>
      </c>
    </row>
    <row r="13" spans="1:4" x14ac:dyDescent="0.15">
      <c r="A13" s="224" t="s">
        <v>239</v>
      </c>
      <c r="B13" s="224">
        <v>-988285</v>
      </c>
      <c r="C13" s="224">
        <v>-1051876</v>
      </c>
      <c r="D13" s="224">
        <v>-1108058</v>
      </c>
    </row>
    <row r="14" spans="1:4" x14ac:dyDescent="0.15">
      <c r="A14" s="224" t="s">
        <v>240</v>
      </c>
      <c r="B14" s="224">
        <v>72014</v>
      </c>
      <c r="C14" s="224">
        <v>70703</v>
      </c>
      <c r="D14" s="224">
        <v>72957</v>
      </c>
    </row>
    <row r="15" spans="1:4" x14ac:dyDescent="0.15">
      <c r="A15" s="224" t="s">
        <v>241</v>
      </c>
      <c r="B15" s="224">
        <v>-88328</v>
      </c>
      <c r="C15" s="224">
        <v>-97954</v>
      </c>
      <c r="D15" s="224">
        <v>-98421</v>
      </c>
    </row>
    <row r="16" spans="1:4" x14ac:dyDescent="0.15">
      <c r="A16" s="224" t="s">
        <v>242</v>
      </c>
      <c r="B16" s="224">
        <v>13675</v>
      </c>
      <c r="C16" s="224">
        <v>14926</v>
      </c>
      <c r="D16" s="224">
        <v>12174</v>
      </c>
    </row>
    <row r="17" spans="1:4" x14ac:dyDescent="0.15">
      <c r="A17" s="224" t="s">
        <v>243</v>
      </c>
      <c r="B17" s="224">
        <v>3710</v>
      </c>
      <c r="C17" s="224">
        <v>38047</v>
      </c>
      <c r="D17" s="224">
        <v>47017</v>
      </c>
    </row>
    <row r="18" spans="1:4" x14ac:dyDescent="0.15">
      <c r="A18" s="224" t="s">
        <v>244</v>
      </c>
      <c r="B18" s="224">
        <v>1071</v>
      </c>
      <c r="C18" s="224">
        <v>25722</v>
      </c>
      <c r="D18" s="224">
        <v>33727</v>
      </c>
    </row>
    <row r="19" spans="1:4" x14ac:dyDescent="0.15">
      <c r="A19" s="224" t="s">
        <v>245</v>
      </c>
      <c r="B19" s="224">
        <v>172372</v>
      </c>
      <c r="C19" s="224">
        <v>276966</v>
      </c>
      <c r="D19" s="224">
        <v>266672</v>
      </c>
    </row>
    <row r="20" spans="1:4" x14ac:dyDescent="0.15">
      <c r="A20" s="224" t="s">
        <v>246</v>
      </c>
      <c r="B20" s="224">
        <v>527646</v>
      </c>
      <c r="C20" s="224">
        <v>695567</v>
      </c>
      <c r="D20" s="224">
        <v>701998</v>
      </c>
    </row>
    <row r="21" spans="1:4" x14ac:dyDescent="0.15">
      <c r="A21" s="224" t="s">
        <v>247</v>
      </c>
      <c r="B21" s="224">
        <v>-101530</v>
      </c>
      <c r="C21" s="224">
        <v>-86601</v>
      </c>
      <c r="D21" s="224">
        <v>-51717</v>
      </c>
    </row>
    <row r="22" spans="1:4" x14ac:dyDescent="0.15">
      <c r="A22" s="224" t="s">
        <v>161</v>
      </c>
      <c r="B22" s="224">
        <v>426116</v>
      </c>
      <c r="C22" s="224">
        <v>608966</v>
      </c>
      <c r="D22" s="224">
        <v>650281</v>
      </c>
    </row>
    <row r="23" spans="1:4" x14ac:dyDescent="0.15">
      <c r="A23" s="224" t="s">
        <v>248</v>
      </c>
      <c r="B23" s="224">
        <v>386352</v>
      </c>
      <c r="C23" s="224">
        <v>561859</v>
      </c>
      <c r="D23" s="224">
        <v>600334</v>
      </c>
    </row>
    <row r="24" spans="1:4" x14ac:dyDescent="0.15">
      <c r="A24" s="224" t="s">
        <v>249</v>
      </c>
      <c r="B24" s="224">
        <v>39764</v>
      </c>
      <c r="C24" s="224">
        <v>47107</v>
      </c>
      <c r="D24" s="224">
        <v>49947</v>
      </c>
    </row>
    <row r="25" spans="1:4" x14ac:dyDescent="0.15">
      <c r="A25" s="224" t="s">
        <v>250</v>
      </c>
      <c r="B25" s="224">
        <v>75167</v>
      </c>
      <c r="C25" s="224">
        <v>-26953</v>
      </c>
      <c r="D25" s="224">
        <v>62969</v>
      </c>
    </row>
    <row r="26" spans="1:4" x14ac:dyDescent="0.15">
      <c r="A26" s="224" t="s">
        <v>251</v>
      </c>
      <c r="B26" s="224">
        <v>10345</v>
      </c>
      <c r="C26" s="224">
        <v>-8031</v>
      </c>
      <c r="D26" s="224">
        <v>-4807</v>
      </c>
    </row>
    <row r="27" spans="1:4" x14ac:dyDescent="0.15">
      <c r="A27" s="224" t="s">
        <v>252</v>
      </c>
      <c r="B27" s="224">
        <v>5517</v>
      </c>
      <c r="C27" s="224">
        <v>-3812</v>
      </c>
      <c r="D27" s="224">
        <v>8179</v>
      </c>
    </row>
    <row r="28" spans="1:4" x14ac:dyDescent="0.15">
      <c r="A28" s="224" t="s">
        <v>253</v>
      </c>
      <c r="B28" s="224">
        <v>91029</v>
      </c>
      <c r="C28" s="224">
        <v>-38796</v>
      </c>
      <c r="D28" s="224">
        <v>66341</v>
      </c>
    </row>
    <row r="29" spans="1:4" x14ac:dyDescent="0.15">
      <c r="A29" s="224" t="s">
        <v>254</v>
      </c>
      <c r="B29" s="224">
        <v>358465</v>
      </c>
      <c r="C29" s="224">
        <v>-90632</v>
      </c>
      <c r="D29" s="224">
        <v>298654</v>
      </c>
    </row>
    <row r="30" spans="1:4" x14ac:dyDescent="0.15">
      <c r="A30" s="224" t="s">
        <v>255</v>
      </c>
      <c r="B30" s="224">
        <v>20899</v>
      </c>
      <c r="C30" s="224">
        <v>-25650</v>
      </c>
      <c r="D30" s="224">
        <v>4127</v>
      </c>
    </row>
    <row r="31" spans="1:4" x14ac:dyDescent="0.15">
      <c r="A31" s="224" t="s">
        <v>256</v>
      </c>
      <c r="B31" s="224">
        <v>1628</v>
      </c>
      <c r="C31" s="224">
        <v>3193</v>
      </c>
      <c r="D31" s="224">
        <v>-845</v>
      </c>
    </row>
    <row r="32" spans="1:4" x14ac:dyDescent="0.15">
      <c r="A32" s="224" t="s">
        <v>257</v>
      </c>
      <c r="B32" s="224">
        <v>-1275</v>
      </c>
      <c r="C32" s="224">
        <v>11879</v>
      </c>
      <c r="D32" s="224">
        <v>11073</v>
      </c>
    </row>
    <row r="33" spans="1:4" x14ac:dyDescent="0.15">
      <c r="A33" s="224" t="s">
        <v>258</v>
      </c>
      <c r="B33" s="224">
        <v>379717</v>
      </c>
      <c r="C33" s="224">
        <v>-101210</v>
      </c>
      <c r="D33" s="224">
        <v>313009</v>
      </c>
    </row>
    <row r="34" spans="1:4" x14ac:dyDescent="0.15">
      <c r="A34" s="224" t="s">
        <v>259</v>
      </c>
      <c r="B34" s="224">
        <v>470746</v>
      </c>
      <c r="C34" s="224">
        <v>-140006</v>
      </c>
      <c r="D34" s="224">
        <v>379350</v>
      </c>
    </row>
    <row r="35" spans="1:4" x14ac:dyDescent="0.15">
      <c r="A35" s="224" t="s">
        <v>260</v>
      </c>
      <c r="B35" s="224">
        <v>896862</v>
      </c>
      <c r="C35" s="224">
        <v>468960</v>
      </c>
      <c r="D35" s="224">
        <v>1029631</v>
      </c>
    </row>
    <row r="36" spans="1:4" x14ac:dyDescent="0.15">
      <c r="A36" s="224" t="s">
        <v>261</v>
      </c>
      <c r="B36" s="224">
        <v>847100</v>
      </c>
      <c r="C36" s="224">
        <v>423957</v>
      </c>
      <c r="D36" s="224">
        <v>976004</v>
      </c>
    </row>
    <row r="37" spans="1:4" x14ac:dyDescent="0.15">
      <c r="A37" s="224" t="s">
        <v>262</v>
      </c>
      <c r="B37" s="224">
        <v>49762</v>
      </c>
      <c r="C37" s="224">
        <v>45003</v>
      </c>
      <c r="D37" s="224">
        <v>53627</v>
      </c>
    </row>
    <row r="38" spans="1:4" x14ac:dyDescent="0.15">
      <c r="A38" s="224" t="s">
        <v>263</v>
      </c>
      <c r="B38" s="224">
        <v>315.87</v>
      </c>
      <c r="C38" s="224">
        <v>463.66</v>
      </c>
      <c r="D38" s="224">
        <v>499.09</v>
      </c>
    </row>
    <row r="39" spans="1:4" x14ac:dyDescent="0.15">
      <c r="A39" s="224" t="s">
        <v>264</v>
      </c>
      <c r="B39" s="224">
        <v>315.64</v>
      </c>
      <c r="C39" s="224">
        <v>463.32</v>
      </c>
      <c r="D39" s="224">
        <v>498.66</v>
      </c>
    </row>
  </sheetData>
  <phoneticPr fontId="19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0F9B6-7358-437E-9CD5-4CD2E8B810B8}">
  <dimension ref="A1:D44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80" style="224" customWidth="1"/>
    <col min="2" max="4" width="22.85546875" style="224" customWidth="1"/>
    <col min="5" max="16384" width="9.140625" style="224"/>
  </cols>
  <sheetData>
    <row r="1" spans="1:4" x14ac:dyDescent="0.15">
      <c r="A1" s="224" t="s">
        <v>154</v>
      </c>
      <c r="B1" s="224" t="s">
        <v>174</v>
      </c>
      <c r="C1" s="224" t="s">
        <v>175</v>
      </c>
      <c r="D1" s="224" t="s">
        <v>176</v>
      </c>
    </row>
    <row r="2" spans="1:4" x14ac:dyDescent="0.15">
      <c r="A2" s="224" t="s">
        <v>161</v>
      </c>
      <c r="B2" s="224">
        <v>426116</v>
      </c>
      <c r="C2" s="224">
        <v>608966</v>
      </c>
      <c r="D2" s="224">
        <v>650281</v>
      </c>
    </row>
    <row r="3" spans="1:4" x14ac:dyDescent="0.15">
      <c r="A3" s="224" t="s">
        <v>156</v>
      </c>
      <c r="B3" s="224">
        <v>200172</v>
      </c>
      <c r="C3" s="224">
        <v>219467</v>
      </c>
      <c r="D3" s="224">
        <v>227623</v>
      </c>
    </row>
    <row r="4" spans="1:4" x14ac:dyDescent="0.15">
      <c r="A4" s="224" t="s">
        <v>265</v>
      </c>
      <c r="B4" s="224">
        <v>37412</v>
      </c>
      <c r="C4" s="224">
        <v>7471</v>
      </c>
      <c r="D4" s="224">
        <v>15168</v>
      </c>
    </row>
    <row r="5" spans="1:4" x14ac:dyDescent="0.15">
      <c r="A5" s="224" t="s">
        <v>266</v>
      </c>
      <c r="B5" s="224">
        <v>-1071</v>
      </c>
      <c r="C5" s="224">
        <v>-25722</v>
      </c>
      <c r="D5" s="224">
        <v>-33727</v>
      </c>
    </row>
    <row r="6" spans="1:4" x14ac:dyDescent="0.15">
      <c r="A6" s="224" t="s">
        <v>267</v>
      </c>
      <c r="B6" s="224">
        <v>-172372</v>
      </c>
      <c r="C6" s="224">
        <v>-276966</v>
      </c>
      <c r="D6" s="224">
        <v>-266672</v>
      </c>
    </row>
    <row r="7" spans="1:4" x14ac:dyDescent="0.15">
      <c r="A7" s="224" t="s">
        <v>268</v>
      </c>
      <c r="B7" s="224">
        <v>-6752</v>
      </c>
      <c r="C7" s="224">
        <v>-7255</v>
      </c>
      <c r="D7" s="224">
        <v>-21167</v>
      </c>
    </row>
    <row r="8" spans="1:4" x14ac:dyDescent="0.15">
      <c r="A8" s="224" t="s">
        <v>247</v>
      </c>
      <c r="B8" s="224">
        <v>101530</v>
      </c>
      <c r="C8" s="224">
        <v>86601</v>
      </c>
      <c r="D8" s="224">
        <v>51717</v>
      </c>
    </row>
    <row r="9" spans="1:4" x14ac:dyDescent="0.15">
      <c r="A9" s="224" t="s">
        <v>269</v>
      </c>
      <c r="B9" s="224">
        <v>-4034</v>
      </c>
      <c r="C9" s="224">
        <v>-154014</v>
      </c>
      <c r="D9" s="224">
        <v>-82873</v>
      </c>
    </row>
    <row r="10" spans="1:4" x14ac:dyDescent="0.15">
      <c r="A10" s="224" t="s">
        <v>270</v>
      </c>
      <c r="B10" s="224">
        <v>-76554</v>
      </c>
      <c r="C10" s="224">
        <v>-89837</v>
      </c>
      <c r="D10" s="224">
        <v>-260091</v>
      </c>
    </row>
    <row r="11" spans="1:4" x14ac:dyDescent="0.15">
      <c r="A11" s="224" t="s">
        <v>271</v>
      </c>
      <c r="B11" s="224">
        <v>-18315</v>
      </c>
      <c r="C11" s="224">
        <v>2004</v>
      </c>
      <c r="D11" s="224">
        <v>2878</v>
      </c>
    </row>
    <row r="12" spans="1:4" x14ac:dyDescent="0.15">
      <c r="A12" s="224" t="s">
        <v>272</v>
      </c>
      <c r="B12" s="224">
        <v>-83175</v>
      </c>
      <c r="C12" s="224">
        <v>113830</v>
      </c>
      <c r="D12" s="224">
        <v>577825</v>
      </c>
    </row>
    <row r="13" spans="1:4" x14ac:dyDescent="0.15">
      <c r="A13" s="224" t="s">
        <v>273</v>
      </c>
      <c r="B13" s="224">
        <v>130279</v>
      </c>
      <c r="C13" s="224">
        <v>30877</v>
      </c>
      <c r="D13" s="224">
        <v>-122880</v>
      </c>
    </row>
    <row r="14" spans="1:4" x14ac:dyDescent="0.15">
      <c r="A14" s="224" t="s">
        <v>162</v>
      </c>
      <c r="B14" s="224">
        <v>35352</v>
      </c>
      <c r="C14" s="224">
        <v>29165</v>
      </c>
      <c r="D14" s="224">
        <v>36309</v>
      </c>
    </row>
    <row r="15" spans="1:4" x14ac:dyDescent="0.15">
      <c r="A15" s="224" t="s">
        <v>155</v>
      </c>
      <c r="B15" s="224">
        <v>217161</v>
      </c>
      <c r="C15" s="224">
        <v>214335</v>
      </c>
      <c r="D15" s="224">
        <v>203663</v>
      </c>
    </row>
    <row r="16" spans="1:4" x14ac:dyDescent="0.15">
      <c r="A16" s="224" t="s">
        <v>163</v>
      </c>
      <c r="B16" s="224">
        <v>-71713</v>
      </c>
      <c r="C16" s="224">
        <v>-67188</v>
      </c>
      <c r="D16" s="224">
        <v>-75298</v>
      </c>
    </row>
    <row r="17" spans="1:4" x14ac:dyDescent="0.15">
      <c r="A17" s="224" t="s">
        <v>164</v>
      </c>
      <c r="B17" s="224">
        <v>-105186</v>
      </c>
      <c r="C17" s="224">
        <v>-79453</v>
      </c>
      <c r="D17" s="224">
        <v>-89300</v>
      </c>
    </row>
    <row r="18" spans="1:4" x14ac:dyDescent="0.15">
      <c r="A18" s="224" t="s">
        <v>165</v>
      </c>
      <c r="B18" s="224">
        <v>608850</v>
      </c>
      <c r="C18" s="224">
        <v>612281</v>
      </c>
      <c r="D18" s="224">
        <v>813456</v>
      </c>
    </row>
    <row r="19" spans="1:4" x14ac:dyDescent="0.15">
      <c r="A19" s="224" t="s">
        <v>274</v>
      </c>
      <c r="B19" s="224">
        <v>9385</v>
      </c>
      <c r="C19" s="224">
        <v>7782</v>
      </c>
      <c r="D19" s="224">
        <v>9953</v>
      </c>
    </row>
    <row r="20" spans="1:4" x14ac:dyDescent="0.15">
      <c r="A20" s="224" t="s">
        <v>275</v>
      </c>
      <c r="B20" s="224">
        <v>-93380</v>
      </c>
      <c r="C20" s="224">
        <v>-102799</v>
      </c>
      <c r="D20" s="224">
        <v>-105910</v>
      </c>
    </row>
    <row r="21" spans="1:4" x14ac:dyDescent="0.15">
      <c r="A21" s="224" t="s">
        <v>276</v>
      </c>
      <c r="B21" s="224">
        <v>13123</v>
      </c>
      <c r="C21" s="224">
        <v>21586</v>
      </c>
      <c r="D21" s="224">
        <v>37136</v>
      </c>
    </row>
    <row r="22" spans="1:4" x14ac:dyDescent="0.15">
      <c r="A22" s="224" t="s">
        <v>166</v>
      </c>
      <c r="B22" s="224">
        <v>-28313</v>
      </c>
      <c r="C22" s="224">
        <v>-20867</v>
      </c>
      <c r="D22" s="224">
        <v>-35932</v>
      </c>
    </row>
    <row r="23" spans="1:4" x14ac:dyDescent="0.15">
      <c r="A23" s="224" t="s">
        <v>277</v>
      </c>
      <c r="B23" s="224">
        <v>3579</v>
      </c>
      <c r="C23" s="224">
        <v>2323</v>
      </c>
      <c r="D23" s="224">
        <v>23912</v>
      </c>
    </row>
    <row r="24" spans="1:4" x14ac:dyDescent="0.15">
      <c r="A24" s="224" t="s">
        <v>278</v>
      </c>
      <c r="B24" s="224">
        <v>-62343</v>
      </c>
      <c r="C24" s="224">
        <v>-271701</v>
      </c>
      <c r="D24" s="224">
        <v>-22348</v>
      </c>
    </row>
    <row r="25" spans="1:4" x14ac:dyDescent="0.15">
      <c r="A25" s="224" t="s">
        <v>279</v>
      </c>
      <c r="B25" s="224">
        <v>173414</v>
      </c>
      <c r="C25" s="224">
        <v>221900</v>
      </c>
      <c r="D25" s="224">
        <v>193639</v>
      </c>
    </row>
    <row r="26" spans="1:4" x14ac:dyDescent="0.15">
      <c r="A26" s="224" t="s">
        <v>280</v>
      </c>
      <c r="B26" s="224">
        <v>-238220</v>
      </c>
      <c r="C26" s="224">
        <v>-290455</v>
      </c>
      <c r="D26" s="224">
        <v>-225662</v>
      </c>
    </row>
    <row r="27" spans="1:4" x14ac:dyDescent="0.15">
      <c r="A27" s="224" t="s">
        <v>281</v>
      </c>
      <c r="B27" s="224">
        <v>30166</v>
      </c>
      <c r="C27" s="224">
        <v>14009</v>
      </c>
      <c r="D27" s="224">
        <v>13339</v>
      </c>
    </row>
    <row r="28" spans="1:4" x14ac:dyDescent="0.15">
      <c r="A28" s="224" t="s">
        <v>282</v>
      </c>
      <c r="B28" s="224">
        <v>-26621</v>
      </c>
      <c r="C28" s="224">
        <v>-43164</v>
      </c>
      <c r="D28" s="224">
        <v>-44019</v>
      </c>
    </row>
    <row r="29" spans="1:4" x14ac:dyDescent="0.15">
      <c r="A29" s="224" t="s">
        <v>167</v>
      </c>
      <c r="B29" s="224">
        <v>-219210</v>
      </c>
      <c r="C29" s="224">
        <v>-461386</v>
      </c>
      <c r="D29" s="224">
        <v>-155892</v>
      </c>
    </row>
    <row r="30" spans="1:4" x14ac:dyDescent="0.15">
      <c r="A30" s="224" t="s">
        <v>283</v>
      </c>
      <c r="B30" s="224">
        <v>-94365</v>
      </c>
      <c r="C30" s="224">
        <v>5017</v>
      </c>
      <c r="D30" s="224">
        <v>181727</v>
      </c>
    </row>
    <row r="31" spans="1:4" x14ac:dyDescent="0.15">
      <c r="A31" s="224" t="s">
        <v>284</v>
      </c>
      <c r="B31" s="224">
        <v>337960</v>
      </c>
      <c r="C31" s="224">
        <v>572921</v>
      </c>
      <c r="D31" s="224">
        <v>951217</v>
      </c>
    </row>
    <row r="32" spans="1:4" x14ac:dyDescent="0.15">
      <c r="A32" s="224" t="s">
        <v>285</v>
      </c>
      <c r="B32" s="224">
        <v>-379502</v>
      </c>
      <c r="C32" s="224">
        <v>-521527</v>
      </c>
      <c r="D32" s="224">
        <v>-295270</v>
      </c>
    </row>
    <row r="33" spans="1:4" x14ac:dyDescent="0.15">
      <c r="A33" s="224" t="s">
        <v>157</v>
      </c>
      <c r="B33" s="224">
        <v>-74710</v>
      </c>
      <c r="C33" s="224">
        <v>-77238</v>
      </c>
      <c r="D33" s="224">
        <v>-77427</v>
      </c>
    </row>
    <row r="34" spans="1:4" x14ac:dyDescent="0.15">
      <c r="A34" s="224" t="s">
        <v>286</v>
      </c>
      <c r="B34" s="224">
        <v>-147326</v>
      </c>
      <c r="C34" s="224">
        <v>-155019</v>
      </c>
      <c r="D34" s="224">
        <v>-162876</v>
      </c>
    </row>
    <row r="35" spans="1:4" x14ac:dyDescent="0.15">
      <c r="A35" s="224" t="s">
        <v>287</v>
      </c>
      <c r="B35" s="224">
        <v>6403</v>
      </c>
      <c r="C35" s="224">
        <v>13688</v>
      </c>
      <c r="D35" s="224">
        <v>3436</v>
      </c>
    </row>
    <row r="36" spans="1:4" x14ac:dyDescent="0.15">
      <c r="A36" s="224" t="s">
        <v>288</v>
      </c>
      <c r="B36" s="224">
        <v>-3311</v>
      </c>
      <c r="C36" s="224">
        <v>-1</v>
      </c>
      <c r="D36" s="224">
        <v>-754182</v>
      </c>
    </row>
    <row r="37" spans="1:4" x14ac:dyDescent="0.15">
      <c r="A37" s="224" t="s">
        <v>289</v>
      </c>
      <c r="B37" s="224">
        <v>-28562</v>
      </c>
      <c r="C37" s="224">
        <v>-35213</v>
      </c>
      <c r="D37" s="224">
        <v>-19145</v>
      </c>
    </row>
    <row r="38" spans="1:4" x14ac:dyDescent="0.15">
      <c r="A38" s="224" t="s">
        <v>290</v>
      </c>
      <c r="B38" s="224">
        <v>-32065</v>
      </c>
      <c r="C38" s="224">
        <v>-50010</v>
      </c>
      <c r="D38" s="224">
        <v>-80011</v>
      </c>
    </row>
    <row r="39" spans="1:4" x14ac:dyDescent="0.15">
      <c r="A39" s="224" t="s">
        <v>168</v>
      </c>
      <c r="B39" s="224">
        <v>-415478</v>
      </c>
      <c r="C39" s="224">
        <v>-247382</v>
      </c>
      <c r="D39" s="224">
        <v>-252531</v>
      </c>
    </row>
    <row r="40" spans="1:4" x14ac:dyDescent="0.15">
      <c r="A40" s="224" t="s">
        <v>291</v>
      </c>
      <c r="B40" s="224">
        <v>-25838</v>
      </c>
      <c r="C40" s="224">
        <v>-96487</v>
      </c>
      <c r="D40" s="224">
        <v>405033</v>
      </c>
    </row>
    <row r="41" spans="1:4" x14ac:dyDescent="0.15">
      <c r="A41" s="224" t="s">
        <v>169</v>
      </c>
      <c r="B41" s="224">
        <v>656859</v>
      </c>
      <c r="C41" s="224">
        <v>667852</v>
      </c>
      <c r="D41" s="224">
        <v>570617</v>
      </c>
    </row>
    <row r="42" spans="1:4" x14ac:dyDescent="0.15">
      <c r="A42" s="224" t="s">
        <v>158</v>
      </c>
      <c r="B42" s="224">
        <v>32921</v>
      </c>
      <c r="C42" s="224">
        <v>-748</v>
      </c>
      <c r="D42" s="224">
        <v>29792</v>
      </c>
    </row>
    <row r="43" spans="1:4" x14ac:dyDescent="0.15">
      <c r="A43" s="224" t="s">
        <v>292</v>
      </c>
      <c r="B43" s="224">
        <v>3910</v>
      </c>
    </row>
    <row r="44" spans="1:4" x14ac:dyDescent="0.15">
      <c r="A44" s="224" t="s">
        <v>170</v>
      </c>
      <c r="B44" s="224">
        <v>667852</v>
      </c>
      <c r="C44" s="224">
        <v>570617</v>
      </c>
      <c r="D44" s="224">
        <v>1005442</v>
      </c>
    </row>
  </sheetData>
  <phoneticPr fontId="19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Dashboard</vt:lpstr>
      <vt:lpstr>Results&amp;Guidance</vt:lpstr>
      <vt:lpstr>① Assumptions</vt:lpstr>
      <vt:lpstr>② Multiples</vt:lpstr>
      <vt:lpstr>③ DCF</vt:lpstr>
      <vt:lpstr>&gt;&gt;Extract from Website</vt:lpstr>
      <vt:lpstr>BS</vt:lpstr>
      <vt:lpstr>PL_CI</vt:lpstr>
      <vt:lpstr>CF</vt:lpstr>
      <vt:lpstr>README</vt:lpstr>
      <vt:lpstr>CurrentPrice</vt:lpstr>
      <vt:lpstr>ForwardPER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2026-05-20T08:00:08Z</dcterms:created>
  <dcterms:modified xsi:type="dcterms:W3CDTF">2026-05-30T22:37:51Z</dcterms:modified>
  <dc:language/>
</cp:coreProperties>
</file>