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D35770FB-1AB3-4B2F-A995-2BA65B0CCABD}" xr6:coauthVersionLast="47" xr6:coauthVersionMax="47" xr10:uidLastSave="{00000000-0000-0000-0000-000000000000}"/>
  <bookViews>
    <workbookView xWindow="1815" yWindow="1965" windowWidth="21600" windowHeight="13545" tabRatio="842" xr2:uid="{00000000-000D-0000-FFFF-FFFF00000000}"/>
  </bookViews>
  <sheets>
    <sheet name="Dashboard" sheetId="5" r:id="rId1"/>
    <sheet name="Results&amp;Guidance" sheetId="7" r:id="rId2"/>
    <sheet name="① Assumptions" sheetId="1" r:id="rId3"/>
    <sheet name="② Multiples" sheetId="2" r:id="rId4"/>
    <sheet name="③ DCF" sheetId="3" r:id="rId5"/>
    <sheet name="&gt;&gt;Extract from Mitsui Website" sheetId="11" r:id="rId6"/>
    <sheet name="BS_Assets" sheetId="15" r:id="rId7"/>
    <sheet name="BS_Liab_Equity" sheetId="16" r:id="rId8"/>
    <sheet name="PL" sheetId="17" r:id="rId9"/>
    <sheet name="CF" sheetId="18" r:id="rId10"/>
  </sheets>
  <definedNames>
    <definedName name="CurrentPrice">'① Assumptions'!$C$28</definedName>
    <definedName name="ForwardPER">'① Assumptions'!$C$25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3" l="1"/>
  <c r="F25" i="3"/>
  <c r="G22" i="3"/>
  <c r="F20" i="3"/>
  <c r="F42" i="3"/>
  <c r="F39" i="3"/>
  <c r="E40" i="3"/>
  <c r="E39" i="3"/>
  <c r="E38" i="3"/>
  <c r="E21" i="3"/>
  <c r="E22" i="3"/>
  <c r="F25" i="7"/>
  <c r="E25" i="7"/>
  <c r="D25" i="7"/>
  <c r="D40" i="7"/>
  <c r="D41" i="7"/>
  <c r="D28" i="7"/>
  <c r="E28" i="7"/>
  <c r="F28" i="7"/>
  <c r="E30" i="7"/>
  <c r="F30" i="7"/>
  <c r="D30" i="7"/>
  <c r="E29" i="7"/>
  <c r="F29" i="7"/>
  <c r="D29" i="7"/>
  <c r="E27" i="7"/>
  <c r="F27" i="7"/>
  <c r="D27" i="7"/>
  <c r="E24" i="7"/>
  <c r="F24" i="7"/>
  <c r="D24" i="7"/>
  <c r="E22" i="7"/>
  <c r="F22" i="7"/>
  <c r="D22" i="7"/>
  <c r="E20" i="7"/>
  <c r="F20" i="7"/>
  <c r="D20" i="7"/>
  <c r="C39" i="1"/>
  <c r="A1" i="5"/>
  <c r="B21" i="5"/>
  <c r="A1" i="3"/>
  <c r="A1" i="2"/>
  <c r="A1" i="1"/>
  <c r="A1" i="7"/>
  <c r="H22" i="3" l="1"/>
  <c r="I22" i="3" s="1"/>
  <c r="J22" i="3" s="1"/>
  <c r="K22" i="3" s="1"/>
  <c r="L22" i="3"/>
  <c r="M22" i="3" s="1"/>
  <c r="N22" i="3" s="1"/>
  <c r="O22" i="3" s="1"/>
  <c r="F21" i="3"/>
  <c r="G39" i="3"/>
  <c r="H39" i="3"/>
  <c r="E23" i="3"/>
  <c r="C40" i="1"/>
  <c r="C18" i="1"/>
  <c r="E39" i="7"/>
  <c r="E41" i="7" s="1"/>
  <c r="F39" i="7"/>
  <c r="B22" i="5" s="1"/>
  <c r="D39" i="7"/>
  <c r="C21" i="5"/>
  <c r="C23" i="5"/>
  <c r="C31" i="1"/>
  <c r="B7" i="2" s="1"/>
  <c r="B9" i="2" s="1"/>
  <c r="A9" i="5"/>
  <c r="C35" i="1"/>
  <c r="B14" i="2" s="1"/>
  <c r="D11" i="3"/>
  <c r="C11" i="3"/>
  <c r="B8" i="2"/>
  <c r="F45" i="3"/>
  <c r="G45" i="3" s="1"/>
  <c r="H45" i="3" s="1"/>
  <c r="I45" i="3" s="1"/>
  <c r="J45" i="3" s="1"/>
  <c r="K45" i="3" s="1"/>
  <c r="L45" i="3" s="1"/>
  <c r="M45" i="3" s="1"/>
  <c r="N45" i="3" s="1"/>
  <c r="O45" i="3" s="1"/>
  <c r="F37" i="3"/>
  <c r="F36" i="3"/>
  <c r="G36" i="3" s="1"/>
  <c r="H36" i="3" s="1"/>
  <c r="I36" i="3" s="1"/>
  <c r="J36" i="3" s="1"/>
  <c r="K36" i="3" s="1"/>
  <c r="L36" i="3" s="1"/>
  <c r="M36" i="3" s="1"/>
  <c r="N36" i="3" s="1"/>
  <c r="O36" i="3" s="1"/>
  <c r="G35" i="3"/>
  <c r="H35" i="3" s="1"/>
  <c r="I35" i="3" s="1"/>
  <c r="J35" i="3" s="1"/>
  <c r="K35" i="3" s="1"/>
  <c r="L35" i="3" s="1"/>
  <c r="M35" i="3" s="1"/>
  <c r="N35" i="3" s="1"/>
  <c r="O35" i="3" s="1"/>
  <c r="G28" i="3"/>
  <c r="H28" i="3" s="1"/>
  <c r="I28" i="3" s="1"/>
  <c r="J28" i="3" s="1"/>
  <c r="K28" i="3" s="1"/>
  <c r="L28" i="3" s="1"/>
  <c r="M28" i="3" s="1"/>
  <c r="N28" i="3" s="1"/>
  <c r="O28" i="3" s="1"/>
  <c r="G18" i="3"/>
  <c r="H18" i="3" s="1"/>
  <c r="I18" i="3" s="1"/>
  <c r="J18" i="3" s="1"/>
  <c r="K18" i="3" s="1"/>
  <c r="L18" i="3" s="1"/>
  <c r="M18" i="3" s="1"/>
  <c r="N18" i="3" s="1"/>
  <c r="O18" i="3" s="1"/>
  <c r="O20" i="3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B15" i="2"/>
  <c r="B13" i="2"/>
  <c r="B6" i="2"/>
  <c r="D7" i="7"/>
  <c r="D9" i="7"/>
  <c r="C12" i="1" s="1"/>
  <c r="B23" i="5" s="1"/>
  <c r="D6" i="7"/>
  <c r="C9" i="1" s="1"/>
  <c r="E36" i="7"/>
  <c r="F36" i="7"/>
  <c r="D8" i="7" s="1"/>
  <c r="C11" i="1" s="1"/>
  <c r="D36" i="7"/>
  <c r="E40" i="7"/>
  <c r="E42" i="7" s="1"/>
  <c r="F40" i="7"/>
  <c r="F42" i="7" s="1"/>
  <c r="D14" i="7" s="1"/>
  <c r="C17" i="1" s="1"/>
  <c r="D42" i="7"/>
  <c r="F38" i="7"/>
  <c r="D10" i="7" s="1"/>
  <c r="C13" i="1" s="1"/>
  <c r="E38" i="7"/>
  <c r="D38" i="7"/>
  <c r="C28" i="5"/>
  <c r="F38" i="3" l="1"/>
  <c r="F40" i="3" s="1"/>
  <c r="F43" i="3" s="1"/>
  <c r="G38" i="3"/>
  <c r="H38" i="3" s="1"/>
  <c r="F23" i="3"/>
  <c r="F26" i="3" s="1"/>
  <c r="F29" i="3" s="1"/>
  <c r="L25" i="3"/>
  <c r="L27" i="3" s="1"/>
  <c r="E42" i="3"/>
  <c r="C10" i="1"/>
  <c r="C41" i="1" s="1"/>
  <c r="F41" i="7"/>
  <c r="D13" i="7" s="1"/>
  <c r="C16" i="1" s="1"/>
  <c r="D21" i="5"/>
  <c r="H20" i="3"/>
  <c r="D23" i="5"/>
  <c r="C24" i="1"/>
  <c r="C25" i="1" s="1"/>
  <c r="K25" i="3"/>
  <c r="K27" i="3" s="1"/>
  <c r="K30" i="3" s="1"/>
  <c r="G37" i="3"/>
  <c r="H37" i="3"/>
  <c r="O37" i="3"/>
  <c r="I37" i="3"/>
  <c r="K37" i="3"/>
  <c r="L37" i="3"/>
  <c r="M37" i="3"/>
  <c r="J37" i="3"/>
  <c r="N20" i="3"/>
  <c r="N37" i="3"/>
  <c r="E25" i="3"/>
  <c r="E26" i="3" s="1"/>
  <c r="G25" i="3"/>
  <c r="N25" i="3"/>
  <c r="O25" i="3"/>
  <c r="D12" i="7"/>
  <c r="C15" i="1" s="1"/>
  <c r="C13" i="2" s="1"/>
  <c r="D11" i="7"/>
  <c r="C14" i="1" s="1"/>
  <c r="M25" i="3"/>
  <c r="J25" i="3"/>
  <c r="I25" i="3"/>
  <c r="H25" i="3"/>
  <c r="J20" i="3"/>
  <c r="I20" i="3"/>
  <c r="G20" i="3"/>
  <c r="G21" i="3" s="1"/>
  <c r="H21" i="3" s="1"/>
  <c r="I21" i="3" s="1"/>
  <c r="J21" i="3" s="1"/>
  <c r="K21" i="3" s="1"/>
  <c r="M20" i="3"/>
  <c r="L20" i="3"/>
  <c r="K20" i="3"/>
  <c r="G40" i="3" l="1"/>
  <c r="G43" i="3" s="1"/>
  <c r="I38" i="3"/>
  <c r="J38" i="3" s="1"/>
  <c r="K38" i="3" s="1"/>
  <c r="L38" i="3" s="1"/>
  <c r="M38" i="3" s="1"/>
  <c r="N38" i="3" s="1"/>
  <c r="O38" i="3" s="1"/>
  <c r="H40" i="3"/>
  <c r="H43" i="3" s="1"/>
  <c r="I39" i="3"/>
  <c r="D38" i="3"/>
  <c r="L30" i="3"/>
  <c r="C9" i="5"/>
  <c r="C22" i="5"/>
  <c r="D22" i="5" s="1"/>
  <c r="G27" i="3"/>
  <c r="G30" i="3" s="1"/>
  <c r="I27" i="3"/>
  <c r="I30" i="3" s="1"/>
  <c r="J27" i="3"/>
  <c r="J30" i="3" s="1"/>
  <c r="F27" i="3"/>
  <c r="F30" i="3" s="1"/>
  <c r="N27" i="3"/>
  <c r="N30" i="3" s="1"/>
  <c r="H27" i="3"/>
  <c r="H30" i="3" s="1"/>
  <c r="M27" i="3"/>
  <c r="M30" i="3" s="1"/>
  <c r="E43" i="3"/>
  <c r="D13" i="2"/>
  <c r="C8" i="2"/>
  <c r="D8" i="2" s="1"/>
  <c r="E8" i="2" s="1"/>
  <c r="C15" i="2"/>
  <c r="D15" i="2" s="1"/>
  <c r="E15" i="2" s="1"/>
  <c r="F15" i="2" s="1"/>
  <c r="C14" i="2"/>
  <c r="G23" i="3"/>
  <c r="G26" i="3" s="1"/>
  <c r="G29" i="3" s="1"/>
  <c r="J39" i="3" l="1"/>
  <c r="J40" i="3" s="1"/>
  <c r="J43" i="3" s="1"/>
  <c r="I40" i="3"/>
  <c r="I43" i="3" s="1"/>
  <c r="E13" i="2"/>
  <c r="F13" i="2" s="1"/>
  <c r="B14" i="5"/>
  <c r="C14" i="5" s="1"/>
  <c r="D14" i="5" s="1"/>
  <c r="G31" i="3"/>
  <c r="G42" i="3"/>
  <c r="G46" i="3" s="1"/>
  <c r="H42" i="3"/>
  <c r="H44" i="3" s="1"/>
  <c r="H47" i="3" s="1"/>
  <c r="I42" i="3"/>
  <c r="I44" i="3" s="1"/>
  <c r="I47" i="3" s="1"/>
  <c r="J42" i="3"/>
  <c r="J44" i="3" s="1"/>
  <c r="J47" i="3" s="1"/>
  <c r="K42" i="3"/>
  <c r="K44" i="3" s="1"/>
  <c r="K47" i="3" s="1"/>
  <c r="L42" i="3"/>
  <c r="L44" i="3" s="1"/>
  <c r="L47" i="3" s="1"/>
  <c r="O42" i="3"/>
  <c r="C9" i="2"/>
  <c r="D9" i="2" s="1"/>
  <c r="E9" i="2" s="1"/>
  <c r="F9" i="2" s="1"/>
  <c r="M42" i="3"/>
  <c r="M44" i="3" s="1"/>
  <c r="M47" i="3" s="1"/>
  <c r="N42" i="3"/>
  <c r="N44" i="3" s="1"/>
  <c r="N47" i="3" s="1"/>
  <c r="F46" i="3"/>
  <c r="F44" i="3"/>
  <c r="F47" i="3" s="1"/>
  <c r="D14" i="2"/>
  <c r="E14" i="2" s="1"/>
  <c r="F14" i="2" s="1"/>
  <c r="C6" i="2"/>
  <c r="D6" i="2" s="1"/>
  <c r="C7" i="2"/>
  <c r="D7" i="2" s="1"/>
  <c r="B13" i="5" s="1"/>
  <c r="C13" i="5" s="1"/>
  <c r="D13" i="5" s="1"/>
  <c r="H23" i="3"/>
  <c r="H26" i="3" s="1"/>
  <c r="H29" i="3" s="1"/>
  <c r="F8" i="2"/>
  <c r="K39" i="3" l="1"/>
  <c r="K40" i="3" s="1"/>
  <c r="K43" i="3" s="1"/>
  <c r="F31" i="3"/>
  <c r="G44" i="3"/>
  <c r="G47" i="3" s="1"/>
  <c r="G48" i="3" s="1"/>
  <c r="H46" i="3"/>
  <c r="H48" i="3" s="1"/>
  <c r="F48" i="3"/>
  <c r="E6" i="2"/>
  <c r="F6" i="2" s="1"/>
  <c r="E7" i="2"/>
  <c r="F7" i="2" s="1"/>
  <c r="I23" i="3"/>
  <c r="I26" i="3" s="1"/>
  <c r="I29" i="3" s="1"/>
  <c r="H31" i="3"/>
  <c r="I31" i="3" l="1"/>
  <c r="L39" i="3"/>
  <c r="L40" i="3" s="1"/>
  <c r="L43" i="3" s="1"/>
  <c r="I46" i="3"/>
  <c r="J46" i="3"/>
  <c r="M39" i="3" l="1"/>
  <c r="M40" i="3" s="1"/>
  <c r="M43" i="3" s="1"/>
  <c r="K23" i="3"/>
  <c r="K26" i="3" s="1"/>
  <c r="J23" i="3"/>
  <c r="I48" i="3"/>
  <c r="K46" i="3"/>
  <c r="J48" i="3"/>
  <c r="D22" i="3" l="1"/>
  <c r="N39" i="3"/>
  <c r="O39" i="3"/>
  <c r="O40" i="3" s="1"/>
  <c r="O43" i="3" s="1"/>
  <c r="L21" i="3"/>
  <c r="L23" i="3" s="1"/>
  <c r="L26" i="3" s="1"/>
  <c r="J26" i="3"/>
  <c r="J29" i="3" s="1"/>
  <c r="K29" i="3"/>
  <c r="K31" i="3" s="1"/>
  <c r="L46" i="3"/>
  <c r="K48" i="3"/>
  <c r="J31" i="3" l="1"/>
  <c r="N40" i="3"/>
  <c r="N43" i="3" s="1"/>
  <c r="D39" i="3"/>
  <c r="L29" i="3"/>
  <c r="L31" i="3" s="1"/>
  <c r="M21" i="3"/>
  <c r="M23" i="3" s="1"/>
  <c r="M46" i="3"/>
  <c r="M26" i="3" l="1"/>
  <c r="N21" i="3"/>
  <c r="N23" i="3" s="1"/>
  <c r="N46" i="3"/>
  <c r="M48" i="3"/>
  <c r="L48" i="3"/>
  <c r="M29" i="3" l="1"/>
  <c r="N26" i="3"/>
  <c r="O21" i="3"/>
  <c r="O24" i="3" s="1"/>
  <c r="O41" i="3"/>
  <c r="O44" i="3" s="1"/>
  <c r="N48" i="3"/>
  <c r="M31" i="3" l="1"/>
  <c r="N29" i="3"/>
  <c r="N31" i="3" s="1"/>
  <c r="O27" i="3"/>
  <c r="D21" i="3"/>
  <c r="O23" i="3"/>
  <c r="O46" i="3"/>
  <c r="D46" i="3" s="1"/>
  <c r="D23" i="3" l="1"/>
  <c r="O30" i="3"/>
  <c r="D30" i="3" s="1"/>
  <c r="D24" i="3"/>
  <c r="O26" i="3"/>
  <c r="O29" i="3" s="1"/>
  <c r="D41" i="3"/>
  <c r="O47" i="3"/>
  <c r="D47" i="3" s="1"/>
  <c r="D8" i="3" s="1"/>
  <c r="D7" i="3"/>
  <c r="D29" i="3" l="1"/>
  <c r="D32" i="3" s="1"/>
  <c r="C8" i="3"/>
  <c r="O31" i="3"/>
  <c r="D49" i="3"/>
  <c r="D9" i="3"/>
  <c r="O48" i="3"/>
  <c r="C7" i="3" l="1"/>
  <c r="C9" i="3"/>
  <c r="D10" i="3"/>
  <c r="B16" i="5"/>
  <c r="C16" i="5" s="1"/>
  <c r="D16" i="5" s="1"/>
  <c r="D12" i="3"/>
  <c r="D13" i="3"/>
  <c r="C13" i="3" l="1"/>
  <c r="E9" i="5"/>
  <c r="C12" i="3"/>
  <c r="B15" i="5"/>
  <c r="C15" i="5" s="1"/>
  <c r="D15" i="5" s="1"/>
  <c r="C10" i="3"/>
  <c r="D40" i="3"/>
</calcChain>
</file>

<file path=xl/sharedStrings.xml><?xml version="1.0" encoding="utf-8"?>
<sst xmlns="http://schemas.openxmlformats.org/spreadsheetml/2006/main" count="529" uniqueCount="302">
  <si>
    <t>WACC</t>
  </si>
  <si>
    <t>Terminal Growth Rate (g)</t>
  </si>
  <si>
    <t>Japan nominal GDP reference; conservative</t>
  </si>
  <si>
    <t>Year-1 FCF Growth  (FY2027, applied)</t>
  </si>
  <si>
    <t>Years 2–5 FCF Growth  (mid-term)</t>
  </si>
  <si>
    <t>Years 6–10 FCF Growth  (long-term)</t>
  </si>
  <si>
    <t>Through-cycle commodity average</t>
  </si>
  <si>
    <t>Metric</t>
  </si>
  <si>
    <t>Value</t>
  </si>
  <si>
    <t>Scenario</t>
  </si>
  <si>
    <t>P/E Applied</t>
  </si>
  <si>
    <t>FY2027 EPS (¥)</t>
  </si>
  <si>
    <t>Implied Price (¥)</t>
  </si>
  <si>
    <t>vs Current ¥5,500</t>
  </si>
  <si>
    <t>Upside / (Downside)</t>
  </si>
  <si>
    <t>P/B Applied</t>
  </si>
  <si>
    <t>BPS  (¥)</t>
  </si>
  <si>
    <t>PV of 10-Year FCFs</t>
  </si>
  <si>
    <t>PV of Terminal Value</t>
  </si>
  <si>
    <t>TV as % of Intrinsic Value</t>
  </si>
  <si>
    <t>★  INTRINSIC VALUE  (DCF)</t>
  </si>
  <si>
    <t>Current Share Price</t>
  </si>
  <si>
    <t>Difference  (Intrinsic−Market)</t>
  </si>
  <si>
    <t>Upside / (Downside)  %</t>
  </si>
  <si>
    <t xml:space="preserve">  Current Price</t>
  </si>
  <si>
    <t xml:space="preserve">  Forward P/E</t>
  </si>
  <si>
    <t xml:space="preserve">  DCF Intrinsic</t>
  </si>
  <si>
    <t xml:space="preserve">  TSE close · 18 May 2026</t>
  </si>
  <si>
    <t>Valuation Method</t>
  </si>
  <si>
    <t>FY2026/3 Actual</t>
  </si>
  <si>
    <t>FY2027/3 Guided</t>
  </si>
  <si>
    <t>Change</t>
  </si>
  <si>
    <t>Analyst / Source</t>
  </si>
  <si>
    <t>Price Target  (¥)</t>
  </si>
  <si>
    <t xml:space="preserve">  ⚡  Risk Sensitivities  — What happens to profits when these change?  (confirmed in earnings release)</t>
  </si>
  <si>
    <t>Risk Factor</t>
  </si>
  <si>
    <t>Impact on Net Profit</t>
  </si>
  <si>
    <t>Direction</t>
  </si>
  <si>
    <t>Up → profit up; down → profit down</t>
  </si>
  <si>
    <t>USD/JPY  ±¥1</t>
  </si>
  <si>
    <t>Yen weak → profit up; Yen strong → down</t>
  </si>
  <si>
    <t>⚠️  For educational purposes only. Not investment advice. Always verify figures against official filings. Past performance does not indicate future results. Japan Stock Alpha — japanstockalpha.com</t>
  </si>
  <si>
    <t xml:space="preserve">  Price ÷ FY2027 guided EPS</t>
    <phoneticPr fontId="19"/>
  </si>
  <si>
    <t>FY 2023</t>
    <phoneticPr fontId="19"/>
  </si>
  <si>
    <t>FY 2024</t>
    <phoneticPr fontId="19"/>
  </si>
  <si>
    <t>FY 2025</t>
    <phoneticPr fontId="19"/>
  </si>
  <si>
    <t>Unit</t>
    <phoneticPr fontId="19"/>
  </si>
  <si>
    <t>¥ mn</t>
  </si>
  <si>
    <t>¥/share</t>
  </si>
  <si>
    <t>%</t>
  </si>
  <si>
    <t>Equity attributable to owners</t>
  </si>
  <si>
    <t>BPS</t>
  </si>
  <si>
    <t>Operating cash flow</t>
  </si>
  <si>
    <t>Investing cash flow</t>
  </si>
  <si>
    <t>Free cash flow</t>
  </si>
  <si>
    <t>¥ mn</t>
    <phoneticPr fontId="19"/>
  </si>
  <si>
    <t>Net Income</t>
    <phoneticPr fontId="19"/>
  </si>
  <si>
    <t>EPS</t>
  </si>
  <si>
    <t>EPS</t>
    <phoneticPr fontId="19"/>
  </si>
  <si>
    <t>Actual</t>
    <phoneticPr fontId="19"/>
  </si>
  <si>
    <t>Share Price (Closing Price at the end of FY)</t>
  </si>
  <si>
    <t>Share Price (Closing Price at the end of FY)</t>
    <phoneticPr fontId="19"/>
  </si>
  <si>
    <t>PER</t>
  </si>
  <si>
    <t>PER</t>
    <phoneticPr fontId="19"/>
  </si>
  <si>
    <t>multiple</t>
  </si>
  <si>
    <t>multiple</t>
    <phoneticPr fontId="19"/>
  </si>
  <si>
    <t>¥</t>
  </si>
  <si>
    <t xml:space="preserve">Income </t>
    <phoneticPr fontId="19"/>
  </si>
  <si>
    <t>Cashflow</t>
    <phoneticPr fontId="19"/>
  </si>
  <si>
    <t>Financial Postions</t>
    <phoneticPr fontId="19"/>
  </si>
  <si>
    <t>Total Asset</t>
    <phoneticPr fontId="19"/>
  </si>
  <si>
    <t>Total Equity</t>
    <phoneticPr fontId="19"/>
  </si>
  <si>
    <t>BPS</t>
    <phoneticPr fontId="19"/>
  </si>
  <si>
    <t>¥/share</t>
    <phoneticPr fontId="19"/>
  </si>
  <si>
    <t>Cash &amp; Cash Equivalent</t>
    <phoneticPr fontId="19"/>
  </si>
  <si>
    <t>Key Stats/Stock Data</t>
    <phoneticPr fontId="19"/>
  </si>
  <si>
    <t>Dividend Yield</t>
  </si>
  <si>
    <t>Dividend Yield</t>
    <phoneticPr fontId="19"/>
  </si>
  <si>
    <t>%</t>
    <phoneticPr fontId="19"/>
  </si>
  <si>
    <t>PBR</t>
  </si>
  <si>
    <t>PBR</t>
    <phoneticPr fontId="19"/>
  </si>
  <si>
    <t>Outstanding Shares</t>
  </si>
  <si>
    <t>Outstanding Shares</t>
    <phoneticPr fontId="19"/>
  </si>
  <si>
    <t>No. in thousand</t>
  </si>
  <si>
    <t>No. in thousand</t>
    <phoneticPr fontId="19"/>
  </si>
  <si>
    <t>Note</t>
    <phoneticPr fontId="19"/>
  </si>
  <si>
    <t>Implied Price — Forward PER Scenarios</t>
    <phoneticPr fontId="19"/>
  </si>
  <si>
    <t>Sector Low</t>
    <phoneticPr fontId="19"/>
  </si>
  <si>
    <t>Sector High</t>
    <phoneticPr fontId="19"/>
  </si>
  <si>
    <t>Sector Mid</t>
    <phoneticPr fontId="19"/>
  </si>
  <si>
    <t>Financial Results</t>
    <phoneticPr fontId="19"/>
  </si>
  <si>
    <t>Market Cap</t>
  </si>
  <si>
    <t>Market Cap</t>
    <phoneticPr fontId="19"/>
  </si>
  <si>
    <t>Summary as of End of FY2025</t>
    <phoneticPr fontId="19"/>
  </si>
  <si>
    <t>Value</t>
    <phoneticPr fontId="19"/>
  </si>
  <si>
    <t>Actual Results</t>
    <phoneticPr fontId="19"/>
  </si>
  <si>
    <t>Net Income/Earnings FY2026</t>
    <phoneticPr fontId="19"/>
  </si>
  <si>
    <t>Underlying Operating Cashflow</t>
    <phoneticPr fontId="19"/>
  </si>
  <si>
    <t>Dividends</t>
    <phoneticPr fontId="19"/>
  </si>
  <si>
    <t>Market</t>
    <phoneticPr fontId="19"/>
  </si>
  <si>
    <t>Guidance from Earning Report</t>
    <phoneticPr fontId="19"/>
  </si>
  <si>
    <t>Sector PER - Low (appx)</t>
    <phoneticPr fontId="19"/>
  </si>
  <si>
    <t>Sector PER - High (appx)</t>
    <phoneticPr fontId="19"/>
  </si>
  <si>
    <t>Sector PER - Mid (appx)</t>
    <phoneticPr fontId="19"/>
  </si>
  <si>
    <t>Upside / (Downside)</t>
    <phoneticPr fontId="19"/>
  </si>
  <si>
    <t>Free Cashflow Growth Rate</t>
    <phoneticPr fontId="19"/>
  </si>
  <si>
    <t>No.in thousand</t>
    <phoneticPr fontId="19"/>
  </si>
  <si>
    <t>FCF / Share</t>
    <phoneticPr fontId="19"/>
  </si>
  <si>
    <t>Discount Factor</t>
    <phoneticPr fontId="19"/>
  </si>
  <si>
    <t>Cumulative PV</t>
    <phoneticPr fontId="19"/>
  </si>
  <si>
    <t>factor</t>
    <phoneticPr fontId="19"/>
  </si>
  <si>
    <t>Terminal Value</t>
    <phoneticPr fontId="19"/>
  </si>
  <si>
    <t>Inputs - Multiples Valuation</t>
    <phoneticPr fontId="19"/>
  </si>
  <si>
    <t>Terminal Value / Share</t>
    <phoneticPr fontId="19"/>
  </si>
  <si>
    <t>Present Value - FCF/Share</t>
    <phoneticPr fontId="19"/>
  </si>
  <si>
    <t>Present Value - TV/Share</t>
    <phoneticPr fontId="19"/>
  </si>
  <si>
    <t>Present Value - FCF &amp; TV / Share</t>
    <phoneticPr fontId="19"/>
  </si>
  <si>
    <t>Total</t>
    <phoneticPr fontId="19"/>
  </si>
  <si>
    <t>Inputs - DCF</t>
    <phoneticPr fontId="19"/>
  </si>
  <si>
    <t>Summary - DCF</t>
    <phoneticPr fontId="19"/>
  </si>
  <si>
    <t>Calculations - DCF</t>
    <phoneticPr fontId="19"/>
  </si>
  <si>
    <t>Share Buy Back at the end of FY2026</t>
    <phoneticPr fontId="19"/>
  </si>
  <si>
    <t>Share Buy Back Execution Price</t>
    <phoneticPr fontId="19"/>
  </si>
  <si>
    <t>No. of cancelled shares</t>
    <phoneticPr fontId="19"/>
  </si>
  <si>
    <t>Outstanding Shares post Share Buy Back in FY2026</t>
    <phoneticPr fontId="19"/>
  </si>
  <si>
    <t>No Share Buy Back</t>
    <phoneticPr fontId="19"/>
  </si>
  <si>
    <t>With Share Buy Back</t>
    <phoneticPr fontId="19"/>
  </si>
  <si>
    <t>Base</t>
    <phoneticPr fontId="19"/>
  </si>
  <si>
    <t>Upside</t>
    <phoneticPr fontId="19"/>
  </si>
  <si>
    <t>Implied Price — P/B Scenarios</t>
    <phoneticPr fontId="19"/>
  </si>
  <si>
    <t>Forward EPS</t>
    <phoneticPr fontId="19"/>
  </si>
  <si>
    <t>Forward PER (at current price)</t>
    <phoneticPr fontId="19"/>
  </si>
  <si>
    <t>CurrentPrice</t>
    <phoneticPr fontId="19"/>
  </si>
  <si>
    <t>ForwardPER</t>
    <phoneticPr fontId="19"/>
  </si>
  <si>
    <t>Sensitivity Inputs</t>
    <phoneticPr fontId="19"/>
  </si>
  <si>
    <t>Net Profit  (¥ mn)</t>
    <phoneticPr fontId="19"/>
  </si>
  <si>
    <t>EPS  (¥)</t>
    <phoneticPr fontId="19"/>
  </si>
  <si>
    <t>Dividend  (¥/share)</t>
    <phoneticPr fontId="19"/>
  </si>
  <si>
    <t>PER Forward 17x (Mid Case)</t>
    <phoneticPr fontId="19"/>
  </si>
  <si>
    <t>P/B 2.0 ×  (historical avg)</t>
    <phoneticPr fontId="19"/>
  </si>
  <si>
    <t>DCF  Base case</t>
    <phoneticPr fontId="19"/>
  </si>
  <si>
    <t>*DCF Base Case with Share Buy Back</t>
    <phoneticPr fontId="19"/>
  </si>
  <si>
    <t>Three Numbers to Know First</t>
    <phoneticPr fontId="19"/>
  </si>
  <si>
    <t>Sector PBR - Low (appx)</t>
    <phoneticPr fontId="19"/>
  </si>
  <si>
    <t>Sector PBR - Mid (appx)</t>
    <phoneticPr fontId="19"/>
  </si>
  <si>
    <t>Sector PBR - High (appx)</t>
    <phoneticPr fontId="19"/>
  </si>
  <si>
    <r>
      <t xml:space="preserve">  </t>
    </r>
    <r>
      <rPr>
        <b/>
        <sz val="11"/>
        <color theme="0"/>
        <rFont val="Segoe UI Emoji"/>
        <family val="2"/>
      </rPr>
      <t>📈</t>
    </r>
    <r>
      <rPr>
        <b/>
        <sz val="11"/>
        <color theme="0"/>
        <rFont val="Arial"/>
        <family val="2"/>
      </rPr>
      <t xml:space="preserve">  Key Financials  —  FY3/2026 Actual &amp; FY3/2027 Guidance  (</t>
    </r>
    <r>
      <rPr>
        <b/>
        <sz val="11"/>
        <color theme="0"/>
        <rFont val="Segoe UI Emoji"/>
        <family val="2"/>
      </rPr>
      <t>✅</t>
    </r>
    <r>
      <rPr>
        <b/>
        <sz val="11"/>
        <color theme="0"/>
        <rFont val="Arial"/>
        <family val="2"/>
      </rPr>
      <t xml:space="preserve"> = confirmed in earnings release)</t>
    </r>
    <phoneticPr fontId="19"/>
  </si>
  <si>
    <t>&lt;--Less than 70% = Healthy</t>
    <phoneticPr fontId="19"/>
  </si>
  <si>
    <t>Current Share Price (as of 22 May 2026)</t>
    <phoneticPr fontId="19"/>
  </si>
  <si>
    <t>Company Name</t>
    <phoneticPr fontId="19"/>
  </si>
  <si>
    <t>Ticker</t>
    <phoneticPr fontId="19"/>
  </si>
  <si>
    <t>Valuation Dashboard (Sample/Simplified)</t>
    <phoneticPr fontId="19"/>
  </si>
  <si>
    <t>Historical Results</t>
    <phoneticPr fontId="19"/>
  </si>
  <si>
    <t>Key Assumptions</t>
    <phoneticPr fontId="19"/>
  </si>
  <si>
    <t>Multiple Valuation</t>
    <phoneticPr fontId="19"/>
  </si>
  <si>
    <t>DCF Valuation</t>
    <phoneticPr fontId="19"/>
  </si>
  <si>
    <t>vs Current</t>
  </si>
  <si>
    <t>vs Current</t>
    <phoneticPr fontId="19"/>
  </si>
  <si>
    <t xml:space="preserve">Consensus Analyst avg </t>
    <phoneticPr fontId="19"/>
  </si>
  <si>
    <r>
      <t xml:space="preserve">  </t>
    </r>
    <r>
      <rPr>
        <b/>
        <sz val="11"/>
        <color theme="0"/>
        <rFont val="Segoe UI Emoji"/>
        <family val="2"/>
      </rPr>
      <t>📡</t>
    </r>
    <r>
      <rPr>
        <b/>
        <sz val="11"/>
        <color theme="0"/>
        <rFont val="Arial"/>
        <family val="2"/>
      </rPr>
      <t xml:space="preserve">  Analyst Ratings  (22 May 2026)</t>
    </r>
    <phoneticPr fontId="19"/>
  </si>
  <si>
    <t>Line item</t>
  </si>
  <si>
    <t>Selling, general and administrative expenses</t>
  </si>
  <si>
    <t>Other-net</t>
  </si>
  <si>
    <t>Interest income</t>
  </si>
  <si>
    <t>Dividends received</t>
  </si>
  <si>
    <t>Interest expense</t>
  </si>
  <si>
    <t>Cash and cash equivalents</t>
  </si>
  <si>
    <t>Inventories</t>
  </si>
  <si>
    <t>Other current assets</t>
  </si>
  <si>
    <t>Total current assets</t>
  </si>
  <si>
    <t>Other investments</t>
  </si>
  <si>
    <t>Property, plant and equipment</t>
  </si>
  <si>
    <t>Investment property</t>
  </si>
  <si>
    <t>Deferred tax assets</t>
  </si>
  <si>
    <t>Other non-current assets</t>
  </si>
  <si>
    <t>Total non-current assets</t>
  </si>
  <si>
    <t>Total assets</t>
  </si>
  <si>
    <t>Advances from customers</t>
  </si>
  <si>
    <t>Other current liabilities</t>
  </si>
  <si>
    <t>Total current liabilities</t>
  </si>
  <si>
    <t>Deferred tax liabilities</t>
  </si>
  <si>
    <t>Other non-current liabilities</t>
  </si>
  <si>
    <t>Total non-current liabilities</t>
  </si>
  <si>
    <t>Total liabilities</t>
  </si>
  <si>
    <t>Common stock</t>
  </si>
  <si>
    <t>Capital surplus</t>
  </si>
  <si>
    <t>Retained earnings</t>
  </si>
  <si>
    <t>Treasury stock</t>
  </si>
  <si>
    <t>Non-controlling interests</t>
  </si>
  <si>
    <t>Total equity</t>
  </si>
  <si>
    <t>Total liabilities and equity</t>
  </si>
  <si>
    <t>Depreciation and amortization</t>
  </si>
  <si>
    <t>Repayments of lease liabilities</t>
  </si>
  <si>
    <t>Effect of exchange rate changes on cash and cash equivalents</t>
  </si>
  <si>
    <t>Upside - Share Buy Back</t>
    <phoneticPr fontId="19"/>
  </si>
  <si>
    <t>Section</t>
  </si>
  <si>
    <t>FY2023 (year ended Mar 31, 2024)</t>
  </si>
  <si>
    <t>FY2024 (year ended Mar 31, 2025)</t>
  </si>
  <si>
    <t>FY2025 (year ended Mar 31, 2026)</t>
  </si>
  <si>
    <t>Current assets</t>
  </si>
  <si>
    <t>Trade and other receivables</t>
  </si>
  <si>
    <t>Other financial assets</t>
  </si>
  <si>
    <t>Advance payments to suppliers</t>
  </si>
  <si>
    <t>Income tax receivables</t>
  </si>
  <si>
    <t>Non-current assets</t>
  </si>
  <si>
    <t>Investments accounted for using the equity method</t>
  </si>
  <si>
    <t>Intangible assets</t>
  </si>
  <si>
    <t>Assets</t>
  </si>
  <si>
    <t>Current liabilities</t>
  </si>
  <si>
    <t>Short-term debt</t>
  </si>
  <si>
    <t>Current portion of long-term debt</t>
  </si>
  <si>
    <t>Trade and other payables</t>
  </si>
  <si>
    <t>Other financial liabilities</t>
  </si>
  <si>
    <t>Income tax payables</t>
  </si>
  <si>
    <t>Provisions</t>
  </si>
  <si>
    <t>Non-current liabilities</t>
  </si>
  <si>
    <t>Long-term debt, less current portion</t>
  </si>
  <si>
    <t>Retirement benefit liabilities</t>
  </si>
  <si>
    <t>Liabilities</t>
  </si>
  <si>
    <t>Equity</t>
  </si>
  <si>
    <t>Other components of equity</t>
  </si>
  <si>
    <t>Total equity attributable to owners of the parent</t>
  </si>
  <si>
    <t>Liabilities and equity</t>
  </si>
  <si>
    <t>Income statement</t>
  </si>
  <si>
    <t>Revenue</t>
  </si>
  <si>
    <t>Cost</t>
  </si>
  <si>
    <t>Gross profit</t>
  </si>
  <si>
    <t>Other income/expenses</t>
  </si>
  <si>
    <t>Gain (loss) on securities and other investments-net</t>
  </si>
  <si>
    <t>Impairment reversal (loss) of fixed assets-net</t>
  </si>
  <si>
    <t>Gain (loss) on disposal or sales of fixed assets-net</t>
  </si>
  <si>
    <t>Other income (expense)-net</t>
  </si>
  <si>
    <t>Total other income (expenses)</t>
  </si>
  <si>
    <t>Finance income/costs</t>
  </si>
  <si>
    <t>Dividend income</t>
  </si>
  <si>
    <t>Total finance income (costs)</t>
  </si>
  <si>
    <t>Share of profit (loss) of investments accounted for using the equity method</t>
  </si>
  <si>
    <t>Profit before income taxes</t>
  </si>
  <si>
    <t>Income taxes</t>
  </si>
  <si>
    <t>Profit for the year</t>
  </si>
  <si>
    <t>Attributable</t>
  </si>
  <si>
    <t>Owners of the parent</t>
  </si>
  <si>
    <t>Operating activities</t>
  </si>
  <si>
    <t>Change in retirement benefit liabilities</t>
  </si>
  <si>
    <t>Loss allowance</t>
  </si>
  <si>
    <t>(Gain) loss on securities and other investments-net</t>
  </si>
  <si>
    <t>Impairment (reversal) loss of fixed assets-net</t>
  </si>
  <si>
    <t>(Gain) loss on disposal or sales of fixed assets-net</t>
  </si>
  <si>
    <t>Interest income, dividend income and interest expense</t>
  </si>
  <si>
    <t>Share of (profit) loss of investments accounted for using the equity method</t>
  </si>
  <si>
    <t>Valuation (gain) loss related to contingent considerations and others</t>
  </si>
  <si>
    <t>(Gain) loss on changes in estimates of asset retirement obligations of oil and gas projects</t>
  </si>
  <si>
    <t>Changes in operating assets/liabilities</t>
  </si>
  <si>
    <t>Change in trade and other receivables</t>
  </si>
  <si>
    <t>Change in inventories</t>
  </si>
  <si>
    <t>Change in trade and other payables</t>
  </si>
  <si>
    <t>Change in advance payments to suppliers and advances from customers</t>
  </si>
  <si>
    <t>Change in derivative assets and liabilities</t>
  </si>
  <si>
    <t>Interest received</t>
  </si>
  <si>
    <t>Interest paid</t>
  </si>
  <si>
    <t>Income taxes paid</t>
  </si>
  <si>
    <t>Cash flows from operating activities</t>
  </si>
  <si>
    <t>Investing activities</t>
  </si>
  <si>
    <t>Change in time deposits</t>
  </si>
  <si>
    <t>Investments in equity method/accounted investees</t>
  </si>
  <si>
    <t>Proceeds from sales of investments in equity method/accounted investees</t>
  </si>
  <si>
    <t>Purchase of other investments</t>
  </si>
  <si>
    <t>Proceeds from sales and maturities of other investments</t>
  </si>
  <si>
    <t>Increases in loan receivables</t>
  </si>
  <si>
    <t>Collections of loan receivables</t>
  </si>
  <si>
    <t>Purchases of property, plant and equipment</t>
  </si>
  <si>
    <t>Proceeds from sales of property, plant and equipment</t>
  </si>
  <si>
    <t>Purchases of investment property</t>
  </si>
  <si>
    <t>Proceeds from sales of investment property</t>
  </si>
  <si>
    <t>Acquisition of subsidiaries or other businesses</t>
  </si>
  <si>
    <t>Proceeds from sales of subsidiaries or other businesses</t>
  </si>
  <si>
    <t>Cash flows from investing activities</t>
  </si>
  <si>
    <t>Financing activities</t>
  </si>
  <si>
    <t>Change in short-term debt</t>
  </si>
  <si>
    <t>Proceeds from long-term debt</t>
  </si>
  <si>
    <t>Repayments of long-term debt</t>
  </si>
  <si>
    <t>Purchases and sales of treasury stock</t>
  </si>
  <si>
    <t>Dividends paid</t>
  </si>
  <si>
    <t>Transactions with non-controlling interest shareholders</t>
  </si>
  <si>
    <t>Cash flows from financing activities</t>
  </si>
  <si>
    <t>Cash reconciliation</t>
  </si>
  <si>
    <t>Change in cash and cash equivalents</t>
  </si>
  <si>
    <t>Cash and cash equivalents at beginning of year</t>
  </si>
  <si>
    <t>Cash and cash equivalents at end of year</t>
  </si>
  <si>
    <t>Mitsui&amp;Co.</t>
    <phoneticPr fontId="19"/>
  </si>
  <si>
    <t>8031.T</t>
    <phoneticPr fontId="19"/>
  </si>
  <si>
    <t>*Underlying Operating Cashflow</t>
    <phoneticPr fontId="19"/>
  </si>
  <si>
    <t>Operating Cashflow</t>
    <phoneticPr fontId="19"/>
  </si>
  <si>
    <t>Free Cashflow</t>
  </si>
  <si>
    <t>Investment Cashflow</t>
    <phoneticPr fontId="19"/>
  </si>
  <si>
    <t>±¥4.6B/year</t>
    <phoneticPr fontId="19"/>
  </si>
  <si>
    <t>US Gas  ±$0.1/MMBTU</t>
    <phoneticPr fontId="19"/>
  </si>
  <si>
    <t>±¥1.6B/year</t>
    <phoneticPr fontId="19"/>
  </si>
  <si>
    <t>Ion ore  ±$1/ton</t>
    <phoneticPr fontId="19"/>
  </si>
  <si>
    <t>±¥3.0B/year</t>
    <phoneticPr fontId="19"/>
  </si>
  <si>
    <t>Cruite Oil  ±$/barrel</t>
    <phoneticPr fontId="19"/>
  </si>
  <si>
    <t>±¥1.3B/year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</si>
</sst>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\¥#,##0;&quot;(¥&quot;#,##0\);\-"/>
    <numFmt numFmtId="177" formatCode="0.0%;\(0.0%\);\-"/>
    <numFmt numFmtId="178" formatCode="\¥#,##0.0\B;&quot;(¥&quot;#,##0.0&quot;B)&quot;;\-"/>
    <numFmt numFmtId="179" formatCode="0.0\x;\(0.0&quot;x)&quot;;\-"/>
    <numFmt numFmtId="180" formatCode="_(#,##0_);\(#,##0\);_(&quot;-&quot;_);_(@_)"/>
    <numFmt numFmtId="181" formatCode="_(#,##0.0_);\(#,##0.0\);_(&quot;-&quot;_);_(@_)"/>
    <numFmt numFmtId="182" formatCode="_(#,##0.00_);\(#,##0.00\);_(&quot;-&quot;_);_(@_)"/>
    <numFmt numFmtId="183" formatCode="0000\A"/>
    <numFmt numFmtId="184" formatCode="#,##0;[Red]\(#,##0\);\-"/>
    <numFmt numFmtId="185" formatCode="0.0%;[Red]\(0.0%\);\-"/>
    <numFmt numFmtId="186" formatCode="_(#,##0.0_)\x;\(#,##0.0\);_(&quot;-&quot;_);_(@_)"/>
    <numFmt numFmtId="187" formatCode="_(#,##0.0%_);\(#,##0.0%\);_(&quot;-&quot;_)_%;_(@_)_%"/>
    <numFmt numFmtId="188" formatCode="_(#,##0.00_)\x;\(#,##0.00\);_(&quot;-&quot;_);_(@_)"/>
    <numFmt numFmtId="189" formatCode="0.00\x;\(0.00&quot;x)&quot;;\-"/>
    <numFmt numFmtId="190" formatCode="&quot;FY&quot;0"/>
  </numFmts>
  <fonts count="54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9"/>
      <color rgb="FF94A3B8"/>
      <name val="Arial"/>
      <family val="2"/>
    </font>
    <font>
      <b/>
      <sz val="10"/>
      <color rgb="FF0E1E3A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9"/>
      <color rgb="FF64748B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8"/>
      <color rgb="FF64748B"/>
      <name val="Arial"/>
      <family val="2"/>
    </font>
    <font>
      <i/>
      <sz val="8"/>
      <color rgb="FF475569"/>
      <name val="Arial"/>
      <family val="2"/>
    </font>
    <font>
      <sz val="9"/>
      <color rgb="FFFFFFFF"/>
      <name val="Arial"/>
      <family val="2"/>
    </font>
    <font>
      <b/>
      <sz val="18"/>
      <color rgb="FFFFFFFF"/>
      <name val="Arial"/>
      <family val="2"/>
    </font>
    <font>
      <i/>
      <sz val="8"/>
      <color rgb="FFFFFFFF"/>
      <name val="Arial"/>
      <family val="2"/>
    </font>
    <font>
      <b/>
      <sz val="10"/>
      <color rgb="FFB45309"/>
      <name val="Arial"/>
      <family val="2"/>
    </font>
    <font>
      <i/>
      <sz val="9"/>
      <color rgb="FF475569"/>
      <name val="Arial"/>
      <family val="2"/>
    </font>
    <font>
      <sz val="9"/>
      <color rgb="FF059669"/>
      <name val="Arial"/>
      <family val="2"/>
    </font>
    <font>
      <i/>
      <sz val="9"/>
      <color rgb="FFDC2626"/>
      <name val="Arial"/>
      <family val="2"/>
    </font>
    <font>
      <b/>
      <sz val="12"/>
      <color theme="0"/>
      <name val="Arial"/>
      <family val="2"/>
    </font>
    <font>
      <sz val="6"/>
      <name val="ＭＳ Ｐゴシック"/>
      <family val="3"/>
      <charset val="128"/>
    </font>
    <font>
      <b/>
      <sz val="15"/>
      <color theme="0"/>
      <name val="Arial"/>
      <family val="2"/>
    </font>
    <font>
      <sz val="11"/>
      <color theme="1"/>
      <name val="Calibri"/>
      <family val="2"/>
    </font>
    <font>
      <sz val="10"/>
      <color theme="1"/>
      <name val="Aptos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charset val="1"/>
    </font>
    <font>
      <i/>
      <sz val="10"/>
      <name val="Arial"/>
      <family val="2"/>
    </font>
    <font>
      <b/>
      <sz val="11"/>
      <color rgb="FF00206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charset val="1"/>
    </font>
    <font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008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Segoe UI Emoji"/>
      <family val="2"/>
    </font>
    <font>
      <sz val="11"/>
      <color theme="1"/>
      <name val="ＭＳ Ｐゴシック"/>
      <family val="2"/>
      <scheme val="minor"/>
    </font>
    <font>
      <b/>
      <sz val="20"/>
      <color rgb="FF002060"/>
      <name val="Arial"/>
      <family val="2"/>
    </font>
    <font>
      <sz val="15"/>
      <color theme="0" tint="-0.499984740745262"/>
      <name val="Arial"/>
      <family val="2"/>
    </font>
    <font>
      <b/>
      <sz val="11"/>
      <color theme="1"/>
      <name val="ＭＳ Ｐゴシック"/>
      <family val="2"/>
      <scheme val="minor"/>
    </font>
    <font>
      <sz val="9"/>
      <color rgb="FF333333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E1E3A"/>
        <bgColor rgb="FF0F172A"/>
      </patternFill>
    </fill>
    <fill>
      <patternFill patternType="solid">
        <fgColor rgb="FF334155"/>
        <bgColor rgb="FF1E3A5F"/>
      </patternFill>
    </fill>
    <fill>
      <patternFill patternType="solid">
        <fgColor rgb="FFE2E8F0"/>
        <bgColor rgb="FFE0F2FE"/>
      </patternFill>
    </fill>
    <fill>
      <patternFill patternType="solid">
        <fgColor rgb="FFFFFFFF"/>
        <bgColor rgb="FFF0F9FF"/>
      </patternFill>
    </fill>
    <fill>
      <patternFill patternType="solid">
        <fgColor rgb="FF1E3A5F"/>
        <bgColor rgb="FF334155"/>
      </patternFill>
    </fill>
    <fill>
      <patternFill patternType="solid">
        <fgColor rgb="FF00B0F0"/>
        <bgColor rgb="FF33415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2E8F0"/>
        <bgColor rgb="FFF0F9FF"/>
      </patternFill>
    </fill>
    <fill>
      <patternFill patternType="solid">
        <fgColor rgb="FFFFFF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E2E8F0"/>
        <bgColor rgb="FF1E3A5F"/>
      </patternFill>
    </fill>
    <fill>
      <patternFill patternType="solid">
        <fgColor rgb="FFE2E8F0"/>
        <bgColor rgb="FF0F172A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rgb="FF1E293B"/>
      </left>
      <right/>
      <top style="thin">
        <color rgb="FF1E293B"/>
      </top>
      <bottom style="thin">
        <color rgb="FF1E293B"/>
      </bottom>
      <diagonal/>
    </border>
    <border>
      <left/>
      <right/>
      <top/>
      <bottom style="thin">
        <color rgb="FF1E293B"/>
      </bottom>
      <diagonal/>
    </border>
    <border>
      <left style="thin">
        <color rgb="FF1E293B"/>
      </left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1E293B"/>
      </left>
      <right style="thin">
        <color rgb="FF1E293B"/>
      </right>
      <top/>
      <bottom style="thin">
        <color rgb="FF1E293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47" fillId="0" borderId="0"/>
  </cellStyleXfs>
  <cellXfs count="266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177" fontId="4" fillId="4" borderId="2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179" fontId="12" fillId="6" borderId="0" xfId="0" applyNumberFormat="1" applyFont="1" applyFill="1" applyAlignment="1">
      <alignment horizontal="centerContinuous" vertical="center" wrapText="1"/>
    </xf>
    <xf numFmtId="0" fontId="11" fillId="6" borderId="6" xfId="0" applyFont="1" applyFill="1" applyBorder="1" applyAlignment="1">
      <alignment vertical="center"/>
    </xf>
    <xf numFmtId="179" fontId="12" fillId="6" borderId="8" xfId="0" applyNumberFormat="1" applyFont="1" applyFill="1" applyBorder="1" applyAlignment="1">
      <alignment horizontal="centerContinuous" vertical="center" wrapText="1"/>
    </xf>
    <xf numFmtId="0" fontId="13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76" fontId="12" fillId="2" borderId="7" xfId="0" applyNumberFormat="1" applyFont="1" applyFill="1" applyBorder="1" applyAlignment="1">
      <alignment horizontal="centerContinuous" vertical="center" wrapText="1"/>
    </xf>
    <xf numFmtId="176" fontId="12" fillId="2" borderId="8" xfId="0" applyNumberFormat="1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7" borderId="11" xfId="0" applyFont="1" applyFill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176" fontId="12" fillId="7" borderId="0" xfId="0" applyNumberFormat="1" applyFont="1" applyFill="1" applyAlignment="1">
      <alignment horizontal="centerContinuous" vertical="center" wrapText="1"/>
    </xf>
    <xf numFmtId="176" fontId="12" fillId="7" borderId="8" xfId="0" applyNumberFormat="1" applyFont="1" applyFill="1" applyBorder="1" applyAlignment="1">
      <alignment horizontal="centerContinuous" vertical="center" wrapText="1"/>
    </xf>
    <xf numFmtId="0" fontId="13" fillId="7" borderId="12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83" fontId="3" fillId="0" borderId="0" xfId="0" applyNumberFormat="1" applyFont="1" applyAlignment="1">
      <alignment horizontal="center" vertical="center"/>
    </xf>
    <xf numFmtId="0" fontId="22" fillId="0" borderId="0" xfId="1" applyFont="1" applyAlignment="1">
      <alignment wrapText="1"/>
    </xf>
    <xf numFmtId="185" fontId="22" fillId="0" borderId="0" xfId="1" applyNumberFormat="1" applyFont="1" applyAlignment="1">
      <alignment wrapText="1"/>
    </xf>
    <xf numFmtId="0" fontId="0" fillId="0" borderId="13" xfId="0" applyBorder="1"/>
    <xf numFmtId="0" fontId="4" fillId="0" borderId="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28" fillId="0" borderId="12" xfId="0" applyFont="1" applyBorder="1"/>
    <xf numFmtId="0" fontId="26" fillId="0" borderId="13" xfId="0" applyFont="1" applyBorder="1"/>
    <xf numFmtId="0" fontId="25" fillId="0" borderId="13" xfId="1" applyFont="1" applyBorder="1" applyAlignment="1">
      <alignment wrapText="1"/>
    </xf>
    <xf numFmtId="0" fontId="26" fillId="0" borderId="0" xfId="0" applyFont="1"/>
    <xf numFmtId="0" fontId="29" fillId="0" borderId="13" xfId="0" applyFont="1" applyBorder="1"/>
    <xf numFmtId="0" fontId="30" fillId="0" borderId="13" xfId="1" applyFont="1" applyBorder="1" applyAlignment="1">
      <alignment wrapText="1"/>
    </xf>
    <xf numFmtId="180" fontId="23" fillId="0" borderId="12" xfId="1" applyNumberFormat="1" applyFont="1" applyBorder="1" applyAlignment="1">
      <alignment horizontal="left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13" xfId="0" applyFont="1" applyBorder="1" applyAlignment="1">
      <alignment horizontal="left" vertical="center" indent="1"/>
    </xf>
    <xf numFmtId="0" fontId="8" fillId="8" borderId="2" xfId="0" applyFont="1" applyFill="1" applyBorder="1" applyAlignment="1">
      <alignment horizontal="left" vertical="center"/>
    </xf>
    <xf numFmtId="0" fontId="32" fillId="8" borderId="2" xfId="0" applyFont="1" applyFill="1" applyBorder="1" applyAlignment="1">
      <alignment horizontal="left" vertical="center"/>
    </xf>
    <xf numFmtId="180" fontId="32" fillId="8" borderId="2" xfId="0" applyNumberFormat="1" applyFont="1" applyFill="1" applyBorder="1" applyAlignment="1">
      <alignment horizontal="right" vertical="center"/>
    </xf>
    <xf numFmtId="180" fontId="33" fillId="8" borderId="2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left" vertical="center"/>
    </xf>
    <xf numFmtId="0" fontId="32" fillId="9" borderId="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left" vertical="center"/>
    </xf>
    <xf numFmtId="180" fontId="1" fillId="0" borderId="13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right" vertical="center"/>
    </xf>
    <xf numFmtId="0" fontId="34" fillId="9" borderId="2" xfId="0" applyFont="1" applyFill="1" applyBorder="1" applyAlignment="1">
      <alignment horizontal="left" vertical="center"/>
    </xf>
    <xf numFmtId="180" fontId="35" fillId="9" borderId="13" xfId="0" applyNumberFormat="1" applyFont="1" applyFill="1" applyBorder="1" applyAlignment="1">
      <alignment horizontal="right" vertical="center"/>
    </xf>
    <xf numFmtId="180" fontId="35" fillId="9" borderId="2" xfId="0" applyNumberFormat="1" applyFont="1" applyFill="1" applyBorder="1" applyAlignment="1">
      <alignment horizontal="right" vertical="center"/>
    </xf>
    <xf numFmtId="180" fontId="1" fillId="0" borderId="13" xfId="1" applyNumberFormat="1" applyFont="1" applyBorder="1" applyAlignment="1">
      <alignment wrapText="1"/>
    </xf>
    <xf numFmtId="0" fontId="36" fillId="0" borderId="0" xfId="0" applyFont="1"/>
    <xf numFmtId="180" fontId="35" fillId="8" borderId="13" xfId="0" applyNumberFormat="1" applyFont="1" applyFill="1" applyBorder="1" applyAlignment="1">
      <alignment horizontal="right" vertical="center"/>
    </xf>
    <xf numFmtId="187" fontId="1" fillId="0" borderId="13" xfId="1" applyNumberFormat="1" applyFont="1" applyBorder="1" applyAlignment="1">
      <alignment wrapText="1"/>
    </xf>
    <xf numFmtId="186" fontId="35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left" vertical="center"/>
    </xf>
    <xf numFmtId="180" fontId="37" fillId="9" borderId="2" xfId="0" applyNumberFormat="1" applyFont="1" applyFill="1" applyBorder="1" applyAlignment="1">
      <alignment horizontal="left" vertical="center"/>
    </xf>
    <xf numFmtId="180" fontId="1" fillId="9" borderId="2" xfId="0" applyNumberFormat="1" applyFont="1" applyFill="1" applyBorder="1" applyAlignment="1">
      <alignment horizontal="left" vertical="center"/>
    </xf>
    <xf numFmtId="180" fontId="1" fillId="0" borderId="13" xfId="0" applyNumberFormat="1" applyFont="1" applyBorder="1" applyAlignment="1">
      <alignment horizontal="left" vertical="center"/>
    </xf>
    <xf numFmtId="180" fontId="36" fillId="0" borderId="0" xfId="0" applyNumberFormat="1" applyFont="1" applyAlignment="1">
      <alignment horizontal="left"/>
    </xf>
    <xf numFmtId="180" fontId="1" fillId="8" borderId="13" xfId="0" applyNumberFormat="1" applyFont="1" applyFill="1" applyBorder="1" applyAlignment="1">
      <alignment horizontal="left" vertical="center"/>
    </xf>
    <xf numFmtId="184" fontId="1" fillId="0" borderId="13" xfId="1" applyNumberFormat="1" applyFont="1" applyBorder="1" applyAlignment="1">
      <alignment horizontal="left" wrapText="1"/>
    </xf>
    <xf numFmtId="184" fontId="1" fillId="0" borderId="12" xfId="1" applyNumberFormat="1" applyFont="1" applyBorder="1" applyAlignment="1">
      <alignment horizontal="left" wrapText="1"/>
    </xf>
    <xf numFmtId="0" fontId="23" fillId="0" borderId="0" xfId="0" applyFont="1"/>
    <xf numFmtId="0" fontId="25" fillId="0" borderId="0" xfId="0" applyFont="1"/>
    <xf numFmtId="178" fontId="5" fillId="0" borderId="2" xfId="0" applyNumberFormat="1" applyFont="1" applyBorder="1" applyAlignment="1">
      <alignment horizontal="right" vertical="center"/>
    </xf>
    <xf numFmtId="0" fontId="30" fillId="0" borderId="0" xfId="1" applyFont="1" applyAlignment="1">
      <alignment wrapText="1"/>
    </xf>
    <xf numFmtId="180" fontId="32" fillId="8" borderId="12" xfId="0" applyNumberFormat="1" applyFont="1" applyFill="1" applyBorder="1" applyAlignment="1">
      <alignment horizontal="right" vertical="center"/>
    </xf>
    <xf numFmtId="0" fontId="3" fillId="10" borderId="11" xfId="0" applyFont="1" applyFill="1" applyBorder="1"/>
    <xf numFmtId="0" fontId="3" fillId="10" borderId="11" xfId="0" applyFont="1" applyFill="1" applyBorder="1" applyAlignment="1">
      <alignment vertical="top"/>
    </xf>
    <xf numFmtId="183" fontId="3" fillId="10" borderId="11" xfId="0" applyNumberFormat="1" applyFont="1" applyFill="1" applyBorder="1" applyAlignment="1">
      <alignment horizontal="center"/>
    </xf>
    <xf numFmtId="183" fontId="23" fillId="10" borderId="11" xfId="0" applyNumberFormat="1" applyFont="1" applyFill="1" applyBorder="1" applyAlignment="1">
      <alignment horizontal="center" vertical="top" wrapText="1"/>
    </xf>
    <xf numFmtId="0" fontId="3" fillId="10" borderId="12" xfId="0" applyFont="1" applyFill="1" applyBorder="1"/>
    <xf numFmtId="183" fontId="24" fillId="10" borderId="12" xfId="0" applyNumberFormat="1" applyFont="1" applyFill="1" applyBorder="1" applyAlignment="1">
      <alignment horizontal="center"/>
    </xf>
    <xf numFmtId="183" fontId="3" fillId="10" borderId="12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180" fontId="25" fillId="0" borderId="13" xfId="0" applyNumberFormat="1" applyFont="1" applyBorder="1"/>
    <xf numFmtId="186" fontId="1" fillId="0" borderId="0" xfId="0" applyNumberFormat="1" applyFont="1" applyAlignment="1">
      <alignment horizontal="right" vertical="center"/>
    </xf>
    <xf numFmtId="180" fontId="4" fillId="4" borderId="2" xfId="0" applyNumberFormat="1" applyFont="1" applyFill="1" applyBorder="1" applyAlignment="1">
      <alignment horizontal="right" vertical="center"/>
    </xf>
    <xf numFmtId="180" fontId="4" fillId="5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12" xfId="0" applyFont="1" applyBorder="1"/>
    <xf numFmtId="190" fontId="25" fillId="0" borderId="12" xfId="0" applyNumberFormat="1" applyFont="1" applyBorder="1" applyAlignment="1">
      <alignment horizontal="center"/>
    </xf>
    <xf numFmtId="0" fontId="25" fillId="0" borderId="11" xfId="0" applyFont="1" applyBorder="1"/>
    <xf numFmtId="180" fontId="30" fillId="0" borderId="0" xfId="0" applyNumberFormat="1" applyFont="1"/>
    <xf numFmtId="0" fontId="25" fillId="9" borderId="16" xfId="0" applyFont="1" applyFill="1" applyBorder="1" applyAlignment="1">
      <alignment horizontal="center"/>
    </xf>
    <xf numFmtId="190" fontId="25" fillId="9" borderId="17" xfId="0" applyNumberFormat="1" applyFont="1" applyFill="1" applyBorder="1" applyAlignment="1">
      <alignment horizontal="center"/>
    </xf>
    <xf numFmtId="0" fontId="25" fillId="9" borderId="18" xfId="0" applyFont="1" applyFill="1" applyBorder="1"/>
    <xf numFmtId="180" fontId="25" fillId="9" borderId="18" xfId="0" applyNumberFormat="1" applyFont="1" applyFill="1" applyBorder="1"/>
    <xf numFmtId="182" fontId="5" fillId="8" borderId="18" xfId="0" applyNumberFormat="1" applyFont="1" applyFill="1" applyBorder="1"/>
    <xf numFmtId="0" fontId="25" fillId="9" borderId="4" xfId="0" applyFont="1" applyFill="1" applyBorder="1"/>
    <xf numFmtId="180" fontId="8" fillId="12" borderId="15" xfId="0" applyNumberFormat="1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left" vertical="center" wrapText="1"/>
    </xf>
    <xf numFmtId="180" fontId="8" fillId="11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0" fontId="3" fillId="14" borderId="12" xfId="0" applyFont="1" applyFill="1" applyBorder="1" applyAlignment="1">
      <alignment vertical="center"/>
    </xf>
    <xf numFmtId="0" fontId="0" fillId="14" borderId="12" xfId="0" applyFill="1" applyBorder="1"/>
    <xf numFmtId="0" fontId="25" fillId="14" borderId="12" xfId="0" applyFont="1" applyFill="1" applyBorder="1"/>
    <xf numFmtId="0" fontId="39" fillId="14" borderId="12" xfId="0" applyFont="1" applyFill="1" applyBorder="1" applyAlignment="1">
      <alignment vertical="center"/>
    </xf>
    <xf numFmtId="0" fontId="3" fillId="14" borderId="2" xfId="0" applyFont="1" applyFill="1" applyBorder="1" applyAlignment="1">
      <alignment vertical="center"/>
    </xf>
    <xf numFmtId="0" fontId="39" fillId="14" borderId="2" xfId="0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5" fillId="0" borderId="5" xfId="0" applyFont="1" applyBorder="1"/>
    <xf numFmtId="0" fontId="25" fillId="0" borderId="6" xfId="0" applyFont="1" applyBorder="1"/>
    <xf numFmtId="0" fontId="25" fillId="0" borderId="9" xfId="0" applyFont="1" applyBorder="1"/>
    <xf numFmtId="190" fontId="25" fillId="0" borderId="10" xfId="0" applyNumberFormat="1" applyFont="1" applyBorder="1" applyAlignment="1">
      <alignment horizontal="center"/>
    </xf>
    <xf numFmtId="0" fontId="25" fillId="11" borderId="7" xfId="0" applyFont="1" applyFill="1" applyBorder="1"/>
    <xf numFmtId="0" fontId="25" fillId="11" borderId="0" xfId="0" applyFont="1" applyFill="1"/>
    <xf numFmtId="9" fontId="4" fillId="0" borderId="0" xfId="0" applyNumberFormat="1" applyFont="1"/>
    <xf numFmtId="9" fontId="4" fillId="0" borderId="8" xfId="0" applyNumberFormat="1" applyFont="1" applyBorder="1"/>
    <xf numFmtId="0" fontId="25" fillId="0" borderId="7" xfId="0" applyFont="1" applyBorder="1"/>
    <xf numFmtId="180" fontId="4" fillId="5" borderId="0" xfId="0" applyNumberFormat="1" applyFont="1" applyFill="1" applyAlignment="1">
      <alignment horizontal="right" vertical="center" wrapText="1"/>
    </xf>
    <xf numFmtId="180" fontId="25" fillId="0" borderId="0" xfId="0" applyNumberFormat="1" applyFont="1"/>
    <xf numFmtId="180" fontId="25" fillId="0" borderId="8" xfId="0" applyNumberFormat="1" applyFont="1" applyBorder="1"/>
    <xf numFmtId="180" fontId="25" fillId="11" borderId="0" xfId="0" applyNumberFormat="1" applyFont="1" applyFill="1"/>
    <xf numFmtId="180" fontId="25" fillId="11" borderId="8" xfId="0" applyNumberFormat="1" applyFont="1" applyFill="1" applyBorder="1"/>
    <xf numFmtId="182" fontId="25" fillId="11" borderId="0" xfId="0" applyNumberFormat="1" applyFont="1" applyFill="1"/>
    <xf numFmtId="182" fontId="25" fillId="11" borderId="8" xfId="0" applyNumberFormat="1" applyFont="1" applyFill="1" applyBorder="1"/>
    <xf numFmtId="0" fontId="25" fillId="0" borderId="19" xfId="0" applyFont="1" applyBorder="1"/>
    <xf numFmtId="180" fontId="25" fillId="0" borderId="20" xfId="0" applyNumberFormat="1" applyFont="1" applyBorder="1"/>
    <xf numFmtId="0" fontId="30" fillId="11" borderId="19" xfId="0" applyFont="1" applyFill="1" applyBorder="1"/>
    <xf numFmtId="0" fontId="8" fillId="12" borderId="13" xfId="0" applyFont="1" applyFill="1" applyBorder="1" applyAlignment="1">
      <alignment horizontal="left" vertical="center" wrapText="1"/>
    </xf>
    <xf numFmtId="0" fontId="0" fillId="14" borderId="0" xfId="0" applyFill="1"/>
    <xf numFmtId="0" fontId="39" fillId="14" borderId="0" xfId="0" applyFont="1" applyFill="1" applyAlignment="1">
      <alignment vertical="center"/>
    </xf>
    <xf numFmtId="0" fontId="40" fillId="14" borderId="0" xfId="0" applyFont="1" applyFill="1"/>
    <xf numFmtId="183" fontId="39" fillId="14" borderId="0" xfId="0" applyNumberFormat="1" applyFont="1" applyFill="1" applyAlignment="1">
      <alignment horizontal="center" vertical="center"/>
    </xf>
    <xf numFmtId="0" fontId="39" fillId="14" borderId="11" xfId="0" applyFont="1" applyFill="1" applyBorder="1"/>
    <xf numFmtId="0" fontId="39" fillId="14" borderId="0" xfId="1" applyFont="1" applyFill="1" applyAlignment="1">
      <alignment wrapText="1"/>
    </xf>
    <xf numFmtId="189" fontId="1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80" fontId="8" fillId="0" borderId="13" xfId="0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right" vertical="center"/>
    </xf>
    <xf numFmtId="0" fontId="30" fillId="0" borderId="0" xfId="0" applyFont="1"/>
    <xf numFmtId="0" fontId="35" fillId="15" borderId="14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5" fillId="0" borderId="0" xfId="0" applyFont="1"/>
    <xf numFmtId="0" fontId="27" fillId="0" borderId="0" xfId="0" applyFont="1" applyAlignment="1">
      <alignment vertical="center"/>
    </xf>
    <xf numFmtId="0" fontId="41" fillId="0" borderId="0" xfId="0" applyFont="1"/>
    <xf numFmtId="0" fontId="42" fillId="0" borderId="0" xfId="0" applyFont="1"/>
    <xf numFmtId="0" fontId="39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3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0" fontId="43" fillId="0" borderId="23" xfId="0" applyNumberFormat="1" applyFont="1" applyBorder="1" applyAlignment="1">
      <alignment horizontal="right" vertical="center"/>
    </xf>
    <xf numFmtId="177" fontId="43" fillId="0" borderId="23" xfId="0" applyNumberFormat="1" applyFont="1" applyBorder="1" applyAlignment="1">
      <alignment horizontal="right" vertical="center"/>
    </xf>
    <xf numFmtId="186" fontId="43" fillId="0" borderId="23" xfId="0" applyNumberFormat="1" applyFont="1" applyBorder="1" applyAlignment="1">
      <alignment horizontal="right" vertical="center"/>
    </xf>
    <xf numFmtId="180" fontId="43" fillId="0" borderId="22" xfId="0" applyNumberFormat="1" applyFont="1" applyBorder="1"/>
    <xf numFmtId="0" fontId="3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76" fontId="5" fillId="13" borderId="23" xfId="0" applyNumberFormat="1" applyFont="1" applyFill="1" applyBorder="1" applyAlignment="1">
      <alignment horizontal="right" vertical="center"/>
    </xf>
    <xf numFmtId="181" fontId="5" fillId="13" borderId="2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25" fillId="0" borderId="0" xfId="1" applyFont="1" applyAlignment="1">
      <alignment wrapText="1"/>
    </xf>
    <xf numFmtId="180" fontId="4" fillId="0" borderId="23" xfId="0" applyNumberFormat="1" applyFont="1" applyBorder="1" applyAlignment="1">
      <alignment vertical="center" wrapText="1"/>
    </xf>
    <xf numFmtId="180" fontId="4" fillId="0" borderId="24" xfId="0" applyNumberFormat="1" applyFont="1" applyBorder="1" applyAlignment="1">
      <alignment vertical="center" wrapText="1"/>
    </xf>
    <xf numFmtId="187" fontId="4" fillId="0" borderId="23" xfId="0" applyNumberFormat="1" applyFont="1" applyBorder="1" applyAlignment="1">
      <alignment vertical="center" wrapText="1"/>
    </xf>
    <xf numFmtId="186" fontId="4" fillId="0" borderId="22" xfId="0" applyNumberFormat="1" applyFont="1" applyBorder="1" applyAlignment="1">
      <alignment horizontal="right" vertical="center"/>
    </xf>
    <xf numFmtId="186" fontId="4" fillId="0" borderId="23" xfId="0" applyNumberFormat="1" applyFont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180" fontId="5" fillId="13" borderId="25" xfId="0" applyNumberFormat="1" applyFont="1" applyFill="1" applyBorder="1" applyAlignment="1">
      <alignment horizontal="right" vertical="center"/>
    </xf>
    <xf numFmtId="180" fontId="5" fillId="13" borderId="24" xfId="0" applyNumberFormat="1" applyFont="1" applyFill="1" applyBorder="1" applyAlignment="1">
      <alignment horizontal="right" vertical="center"/>
    </xf>
    <xf numFmtId="188" fontId="5" fillId="13" borderId="22" xfId="0" applyNumberFormat="1" applyFont="1" applyFill="1" applyBorder="1" applyAlignment="1">
      <alignment horizontal="right" vertical="center"/>
    </xf>
    <xf numFmtId="188" fontId="5" fillId="13" borderId="23" xfId="0" applyNumberFormat="1" applyFont="1" applyFill="1" applyBorder="1" applyAlignment="1">
      <alignment horizontal="right" vertical="center"/>
    </xf>
    <xf numFmtId="0" fontId="23" fillId="5" borderId="12" xfId="0" applyFont="1" applyFill="1" applyBorder="1" applyAlignment="1">
      <alignment horizontal="left" vertical="center" wrapText="1"/>
    </xf>
    <xf numFmtId="186" fontId="1" fillId="0" borderId="12" xfId="0" applyNumberFormat="1" applyFont="1" applyBorder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78" fontId="5" fillId="14" borderId="0" xfId="0" applyNumberFormat="1" applyFont="1" applyFill="1" applyAlignment="1">
      <alignment horizontal="right" vertical="center"/>
    </xf>
    <xf numFmtId="0" fontId="6" fillId="14" borderId="0" xfId="0" applyFont="1" applyFill="1" applyAlignment="1">
      <alignment horizontal="left" vertical="center" wrapText="1"/>
    </xf>
    <xf numFmtId="177" fontId="5" fillId="13" borderId="22" xfId="0" applyNumberFormat="1" applyFont="1" applyFill="1" applyBorder="1" applyAlignment="1">
      <alignment horizontal="right" vertical="center"/>
    </xf>
    <xf numFmtId="177" fontId="5" fillId="13" borderId="23" xfId="0" applyNumberFormat="1" applyFont="1" applyFill="1" applyBorder="1" applyAlignment="1">
      <alignment horizontal="right" vertical="center"/>
    </xf>
    <xf numFmtId="189" fontId="1" fillId="0" borderId="2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right" vertical="center"/>
    </xf>
    <xf numFmtId="180" fontId="8" fillId="0" borderId="2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5" fillId="15" borderId="12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35" fillId="15" borderId="13" xfId="0" applyFont="1" applyFill="1" applyBorder="1" applyAlignment="1">
      <alignment horizontal="center" vertical="center" wrapText="1"/>
    </xf>
    <xf numFmtId="0" fontId="44" fillId="14" borderId="0" xfId="0" applyFont="1" applyFill="1" applyAlignment="1">
      <alignment vertical="center"/>
    </xf>
    <xf numFmtId="0" fontId="20" fillId="16" borderId="0" xfId="0" applyFont="1" applyFill="1" applyAlignment="1">
      <alignment vertical="center"/>
    </xf>
    <xf numFmtId="0" fontId="18" fillId="16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4" fillId="14" borderId="2" xfId="0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0" fillId="11" borderId="0" xfId="0" applyFill="1"/>
    <xf numFmtId="183" fontId="3" fillId="11" borderId="0" xfId="0" applyNumberFormat="1" applyFont="1" applyFill="1" applyAlignment="1">
      <alignment horizontal="center" vertical="center"/>
    </xf>
    <xf numFmtId="0" fontId="26" fillId="11" borderId="0" xfId="0" applyFont="1" applyFill="1"/>
    <xf numFmtId="0" fontId="47" fillId="0" borderId="0" xfId="2"/>
    <xf numFmtId="181" fontId="1" fillId="0" borderId="12" xfId="1" applyNumberFormat="1" applyFont="1" applyBorder="1" applyAlignment="1">
      <alignment wrapText="1"/>
    </xf>
    <xf numFmtId="181" fontId="1" fillId="0" borderId="13" xfId="1" applyNumberFormat="1" applyFont="1" applyBorder="1" applyAlignment="1">
      <alignment wrapText="1"/>
    </xf>
    <xf numFmtId="0" fontId="5" fillId="13" borderId="23" xfId="0" applyFont="1" applyFill="1" applyBorder="1"/>
    <xf numFmtId="0" fontId="5" fillId="13" borderId="22" xfId="0" applyFont="1" applyFill="1" applyBorder="1"/>
    <xf numFmtId="0" fontId="48" fillId="16" borderId="0" xfId="0" applyFont="1" applyFill="1" applyAlignment="1">
      <alignment vertical="center"/>
    </xf>
    <xf numFmtId="0" fontId="49" fillId="16" borderId="0" xfId="0" applyFont="1" applyFill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180" fontId="8" fillId="0" borderId="13" xfId="1" applyNumberFormat="1" applyFont="1" applyBorder="1" applyAlignment="1">
      <alignment wrapText="1"/>
    </xf>
    <xf numFmtId="0" fontId="50" fillId="0" borderId="0" xfId="2" applyFont="1"/>
    <xf numFmtId="184" fontId="47" fillId="0" borderId="0" xfId="2" applyNumberFormat="1"/>
    <xf numFmtId="3" fontId="36" fillId="0" borderId="0" xfId="0" applyNumberFormat="1" applyFont="1"/>
    <xf numFmtId="3" fontId="51" fillId="0" borderId="13" xfId="0" applyNumberFormat="1" applyFont="1" applyBorder="1"/>
    <xf numFmtId="187" fontId="0" fillId="0" borderId="0" xfId="0" applyNumberFormat="1"/>
    <xf numFmtId="0" fontId="52" fillId="0" borderId="0" xfId="0" applyFont="1"/>
    <xf numFmtId="0" fontId="53" fillId="0" borderId="0" xfId="0" applyFont="1"/>
    <xf numFmtId="0" fontId="53" fillId="17" borderId="0" xfId="0" applyFont="1" applyFill="1" applyAlignment="1">
      <alignment horizontal="left" vertical="center" wrapText="1"/>
    </xf>
    <xf numFmtId="180" fontId="53" fillId="17" borderId="0" xfId="0" applyNumberFormat="1" applyFont="1" applyFill="1" applyAlignment="1">
      <alignment horizontal="right" vertical="center" wrapText="1"/>
    </xf>
    <xf numFmtId="180" fontId="53" fillId="18" borderId="26" xfId="0" applyNumberFormat="1" applyFont="1" applyFill="1" applyBorder="1"/>
    <xf numFmtId="180" fontId="53" fillId="0" borderId="0" xfId="0" applyNumberFormat="1" applyFont="1"/>
    <xf numFmtId="180" fontId="53" fillId="0" borderId="27" xfId="0" applyNumberFormat="1" applyFont="1" applyBorder="1"/>
    <xf numFmtId="180" fontId="4" fillId="5" borderId="11" xfId="0" applyNumberFormat="1" applyFont="1" applyFill="1" applyBorder="1" applyAlignment="1">
      <alignment horizontal="right" vertical="center" wrapText="1"/>
    </xf>
    <xf numFmtId="180" fontId="25" fillId="9" borderId="16" xfId="0" applyNumberFormat="1" applyFont="1" applyFill="1" applyBorder="1"/>
    <xf numFmtId="180" fontId="25" fillId="0" borderId="11" xfId="0" applyNumberFormat="1" applyFont="1" applyBorder="1"/>
    <xf numFmtId="180" fontId="25" fillId="0" borderId="6" xfId="0" applyNumberFormat="1" applyFont="1" applyBorder="1"/>
    <xf numFmtId="0" fontId="53" fillId="0" borderId="28" xfId="0" applyFont="1" applyBorder="1"/>
    <xf numFmtId="0" fontId="53" fillId="17" borderId="11" xfId="0" applyFont="1" applyFill="1" applyBorder="1" applyAlignment="1">
      <alignment horizontal="left" vertical="center" wrapText="1"/>
    </xf>
    <xf numFmtId="180" fontId="53" fillId="17" borderId="11" xfId="0" applyNumberFormat="1" applyFont="1" applyFill="1" applyBorder="1" applyAlignment="1">
      <alignment horizontal="right" vertical="center" wrapText="1"/>
    </xf>
    <xf numFmtId="180" fontId="53" fillId="18" borderId="29" xfId="0" applyNumberFormat="1" applyFont="1" applyFill="1" applyBorder="1"/>
    <xf numFmtId="180" fontId="53" fillId="0" borderId="11" xfId="0" applyNumberFormat="1" applyFont="1" applyBorder="1"/>
    <xf numFmtId="180" fontId="53" fillId="0" borderId="6" xfId="0" applyNumberFormat="1" applyFont="1" applyBorder="1"/>
    <xf numFmtId="180" fontId="25" fillId="11" borderId="30" xfId="0" applyNumberFormat="1" applyFont="1" applyFill="1" applyBorder="1"/>
    <xf numFmtId="180" fontId="25" fillId="0" borderId="31" xfId="0" applyNumberFormat="1" applyFont="1" applyBorder="1"/>
    <xf numFmtId="180" fontId="25" fillId="0" borderId="7" xfId="0" applyNumberFormat="1" applyFont="1" applyBorder="1"/>
    <xf numFmtId="180" fontId="25" fillId="0" borderId="5" xfId="0" applyNumberFormat="1" applyFont="1" applyBorder="1"/>
    <xf numFmtId="180" fontId="25" fillId="0" borderId="10" xfId="0" applyNumberFormat="1" applyFont="1" applyBorder="1"/>
    <xf numFmtId="0" fontId="6" fillId="0" borderId="2" xfId="0" applyFont="1" applyBorder="1" applyAlignment="1">
      <alignment horizontal="left" vertical="center"/>
    </xf>
  </cellXfs>
  <cellStyles count="3">
    <cellStyle name="Normal" xfId="1" xr:uid="{269EB9A4-921D-4EB1-91BB-8DDB53AEE798}"/>
    <cellStyle name="標準" xfId="0" builtinId="0"/>
    <cellStyle name="標準 2" xfId="2" xr:uid="{389B020F-1882-4010-A88A-46193C30BCD3}"/>
  </cellStyles>
  <dxfs count="10"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4532D"/>
      <rgbColor rgb="FF000080"/>
      <rgbColor rgb="FFB8952A"/>
      <rgbColor rgb="FF800080"/>
      <rgbColor rgb="FF059669"/>
      <rgbColor rgb="FFF3E8FF"/>
      <rgbColor rgb="FF475569"/>
      <rgbColor rgb="FF9999FF"/>
      <rgbColor rgb="FF7C3AED"/>
      <rgbColor rgb="FFFEF9C3"/>
      <rgbColor rgb="FFE0F2FE"/>
      <rgbColor rgb="FF660066"/>
      <rgbColor rgb="FFFF8080"/>
      <rgbColor rgb="FF0369A1"/>
      <rgbColor rgb="FFE2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F"/>
      <rgbColor rgb="FFD1FAE5"/>
      <rgbColor rgb="FFFEF3C7"/>
      <rgbColor rgb="FFF0F4F8"/>
      <rgbColor rgb="FFFEF2F2"/>
      <rgbColor rgb="FFEFF6FF"/>
      <rgbColor rgb="FFFEE2E2"/>
      <rgbColor rgb="FF2563EB"/>
      <rgbColor rgb="FF33CCCC"/>
      <rgbColor rgb="FF99CC00"/>
      <rgbColor rgb="FFFFCC00"/>
      <rgbColor rgb="FFF59E0B"/>
      <rgbColor rgb="FFFF6600"/>
      <rgbColor rgb="FF64748B"/>
      <rgbColor rgb="FF94A3B8"/>
      <rgbColor rgb="FF1E3A5F"/>
      <rgbColor rgb="FF16A34A"/>
      <rgbColor rgb="FF0E1E3A"/>
      <rgbColor rgb="FF0F172A"/>
      <rgbColor rgb="FFB45309"/>
      <rgbColor rgb="FF993366"/>
      <rgbColor rgb="FF334155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8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E1E3A"/>
  </sheetPr>
  <dimension ref="A1:F37"/>
  <sheetViews>
    <sheetView showGridLines="0" tabSelected="1" zoomScaleNormal="100" workbookViewId="0"/>
  </sheetViews>
  <sheetFormatPr defaultColWidth="0" defaultRowHeight="15" x14ac:dyDescent="0.25"/>
  <cols>
    <col min="1" max="1" width="37.140625" customWidth="1"/>
    <col min="2" max="6" width="25.7109375" customWidth="1"/>
    <col min="7" max="16384" width="8.7109375" hidden="1"/>
  </cols>
  <sheetData>
    <row r="1" spans="1:6" ht="21.75" customHeight="1" x14ac:dyDescent="0.25">
      <c r="A1" s="229" t="str">
        <f>$B$4&amp;" "&amp;$B$5</f>
        <v>Mitsui&amp;Co. 8031.T</v>
      </c>
      <c r="B1" s="214"/>
      <c r="C1" s="214"/>
      <c r="D1" s="214"/>
      <c r="E1" s="214"/>
      <c r="F1" s="214"/>
    </row>
    <row r="2" spans="1:6" ht="21.75" customHeight="1" x14ac:dyDescent="0.25">
      <c r="A2" s="230" t="s">
        <v>151</v>
      </c>
      <c r="B2" s="215"/>
      <c r="C2" s="215"/>
      <c r="D2" s="215"/>
      <c r="E2" s="215"/>
      <c r="F2" s="215"/>
    </row>
    <row r="4" spans="1:6" x14ac:dyDescent="0.25">
      <c r="A4" s="73" t="s">
        <v>149</v>
      </c>
      <c r="B4" s="227" t="s">
        <v>289</v>
      </c>
    </row>
    <row r="5" spans="1:6" x14ac:dyDescent="0.25">
      <c r="A5" s="73" t="s">
        <v>150</v>
      </c>
      <c r="B5" s="228" t="s">
        <v>290</v>
      </c>
    </row>
    <row r="7" spans="1:6" ht="21.75" customHeight="1" x14ac:dyDescent="0.25">
      <c r="A7" s="212" t="s">
        <v>142</v>
      </c>
      <c r="B7" s="212"/>
      <c r="C7" s="212"/>
      <c r="D7" s="212"/>
      <c r="E7" s="212"/>
      <c r="F7" s="212"/>
    </row>
    <row r="8" spans="1:6" ht="18" customHeight="1" x14ac:dyDescent="0.25">
      <c r="A8" s="16" t="s">
        <v>24</v>
      </c>
      <c r="B8" s="17"/>
      <c r="C8" s="14" t="s">
        <v>25</v>
      </c>
      <c r="D8" s="11"/>
      <c r="E8" s="23" t="s">
        <v>26</v>
      </c>
      <c r="F8" s="24"/>
    </row>
    <row r="9" spans="1:6" ht="37.5" customHeight="1" x14ac:dyDescent="0.25">
      <c r="A9" s="18">
        <f>CurrentPrice</f>
        <v>5327</v>
      </c>
      <c r="B9" s="19"/>
      <c r="C9" s="10">
        <f>ForwardPER</f>
        <v>16.410564647826089</v>
      </c>
      <c r="D9" s="12"/>
      <c r="E9" s="25">
        <f>'③ DCF'!C9</f>
        <v>6985.4635608125909</v>
      </c>
      <c r="F9" s="26"/>
    </row>
    <row r="10" spans="1:6" ht="18" customHeight="1" x14ac:dyDescent="0.25">
      <c r="A10" s="20" t="s">
        <v>27</v>
      </c>
      <c r="B10" s="21"/>
      <c r="C10" s="15" t="s">
        <v>42</v>
      </c>
      <c r="D10" s="13"/>
      <c r="E10" s="27"/>
      <c r="F10" s="28"/>
    </row>
    <row r="11" spans="1:6" x14ac:dyDescent="0.25">
      <c r="F11" s="216"/>
    </row>
    <row r="12" spans="1:6" x14ac:dyDescent="0.25">
      <c r="A12" s="210" t="s">
        <v>28</v>
      </c>
      <c r="B12" s="210" t="s">
        <v>12</v>
      </c>
      <c r="C12" s="210" t="s">
        <v>157</v>
      </c>
      <c r="D12" s="210" t="s">
        <v>14</v>
      </c>
      <c r="E12" s="89"/>
      <c r="F12" s="89"/>
    </row>
    <row r="13" spans="1:6" x14ac:dyDescent="0.25">
      <c r="A13" s="116" t="s">
        <v>138</v>
      </c>
      <c r="B13" s="196">
        <f>'② Multiples'!$D$7</f>
        <v>5518.335410353865</v>
      </c>
      <c r="C13" s="196">
        <f>B13-CurrentPrice</f>
        <v>191.33541035386497</v>
      </c>
      <c r="D13" s="207">
        <f>C13/CurrentPrice</f>
        <v>3.5918042116362861E-2</v>
      </c>
      <c r="E13" s="98"/>
      <c r="F13" s="208"/>
    </row>
    <row r="14" spans="1:6" x14ac:dyDescent="0.25">
      <c r="A14" s="116" t="s">
        <v>139</v>
      </c>
      <c r="B14" s="196">
        <f>'② Multiples'!D13</f>
        <v>6187.1294353091607</v>
      </c>
      <c r="C14" s="196">
        <f>B14-CurrentPrice</f>
        <v>860.12943530916073</v>
      </c>
      <c r="D14" s="207">
        <f>C14/CurrentPrice</f>
        <v>0.16146601000735136</v>
      </c>
      <c r="E14" s="98"/>
      <c r="F14" s="208"/>
    </row>
    <row r="15" spans="1:6" x14ac:dyDescent="0.25">
      <c r="A15" s="116" t="s">
        <v>140</v>
      </c>
      <c r="B15" s="206">
        <f>'③ DCF'!C9</f>
        <v>6985.4635608125909</v>
      </c>
      <c r="C15" s="196">
        <f>B15-CurrentPrice</f>
        <v>1658.4635608125909</v>
      </c>
      <c r="D15" s="207">
        <f>C15/CurrentPrice</f>
        <v>0.31133162395580832</v>
      </c>
      <c r="E15" s="98"/>
      <c r="F15" s="208"/>
    </row>
    <row r="16" spans="1:6" x14ac:dyDescent="0.25">
      <c r="A16" s="116" t="s">
        <v>141</v>
      </c>
      <c r="B16" s="196">
        <f>'③ DCF'!D9</f>
        <v>7205.6219582038884</v>
      </c>
      <c r="C16" s="196">
        <f>B16-CurrentPrice</f>
        <v>1878.6219582038884</v>
      </c>
      <c r="D16" s="207">
        <f>C16/CurrentPrice</f>
        <v>0.35266040138987959</v>
      </c>
      <c r="E16" s="98"/>
      <c r="F16" s="208"/>
    </row>
    <row r="19" spans="1:6" ht="16.5" x14ac:dyDescent="0.25">
      <c r="A19" s="212" t="s">
        <v>146</v>
      </c>
      <c r="B19" s="212"/>
      <c r="C19" s="212"/>
      <c r="D19" s="212"/>
      <c r="E19" s="217"/>
      <c r="F19" s="217"/>
    </row>
    <row r="20" spans="1:6" x14ac:dyDescent="0.25">
      <c r="A20" s="211" t="s">
        <v>7</v>
      </c>
      <c r="B20" s="211" t="s">
        <v>29</v>
      </c>
      <c r="C20" s="211" t="s">
        <v>30</v>
      </c>
      <c r="D20" s="211" t="s">
        <v>31</v>
      </c>
    </row>
    <row r="21" spans="1:6" x14ac:dyDescent="0.25">
      <c r="A21" s="116" t="s">
        <v>135</v>
      </c>
      <c r="B21" s="196">
        <f>'Results&amp;Guidance'!F20</f>
        <v>833971</v>
      </c>
      <c r="C21" s="206">
        <f>'① Assumptions'!$C$21</f>
        <v>920000</v>
      </c>
      <c r="D21" s="117">
        <f>C21/B21-1</f>
        <v>0.10315586513200103</v>
      </c>
    </row>
    <row r="22" spans="1:6" x14ac:dyDescent="0.25">
      <c r="A22" s="116" t="s">
        <v>136</v>
      </c>
      <c r="B22" s="196">
        <f>'Results&amp;Guidance'!F39</f>
        <v>294.25394504528282</v>
      </c>
      <c r="C22" s="206">
        <f>'① Assumptions'!C24</f>
        <v>324.60796531493321</v>
      </c>
      <c r="D22" s="117">
        <f t="shared" ref="D22:D23" si="0">C22/B22-1</f>
        <v>0.10315586513200081</v>
      </c>
    </row>
    <row r="23" spans="1:6" x14ac:dyDescent="0.25">
      <c r="A23" s="116" t="s">
        <v>137</v>
      </c>
      <c r="B23" s="196">
        <f>'① Assumptions'!C12</f>
        <v>115</v>
      </c>
      <c r="C23" s="206">
        <f>'① Assumptions'!C23</f>
        <v>140</v>
      </c>
      <c r="D23" s="117">
        <f t="shared" si="0"/>
        <v>0.21739130434782616</v>
      </c>
    </row>
    <row r="26" spans="1:6" ht="16.5" x14ac:dyDescent="0.25">
      <c r="A26" s="212" t="s">
        <v>159</v>
      </c>
      <c r="B26" s="212"/>
      <c r="C26" s="212"/>
      <c r="D26" s="217"/>
      <c r="E26" s="217"/>
      <c r="F26" s="217"/>
    </row>
    <row r="27" spans="1:6" x14ac:dyDescent="0.25">
      <c r="A27" s="210" t="s">
        <v>32</v>
      </c>
      <c r="B27" s="210" t="s">
        <v>33</v>
      </c>
      <c r="C27" s="210" t="s">
        <v>156</v>
      </c>
      <c r="D27" s="98"/>
    </row>
    <row r="28" spans="1:6" x14ac:dyDescent="0.25">
      <c r="A28" s="116" t="s">
        <v>158</v>
      </c>
      <c r="B28" s="196">
        <v>6819</v>
      </c>
      <c r="C28" s="207">
        <f>B28/CurrentPrice-1</f>
        <v>0.28008259808522618</v>
      </c>
      <c r="D28" s="98"/>
    </row>
    <row r="31" spans="1:6" x14ac:dyDescent="0.25">
      <c r="A31" s="212" t="s">
        <v>34</v>
      </c>
      <c r="B31" s="212"/>
      <c r="C31" s="212"/>
      <c r="D31" s="212"/>
      <c r="E31" s="212"/>
      <c r="F31" s="212"/>
    </row>
    <row r="32" spans="1:6" x14ac:dyDescent="0.25">
      <c r="A32" s="209" t="s">
        <v>35</v>
      </c>
      <c r="B32" s="209" t="s">
        <v>36</v>
      </c>
      <c r="C32" s="209" t="s">
        <v>37</v>
      </c>
      <c r="D32" s="231"/>
      <c r="E32" s="232"/>
      <c r="F32" s="231"/>
    </row>
    <row r="33" spans="1:6" x14ac:dyDescent="0.25">
      <c r="A33" s="4" t="s">
        <v>300</v>
      </c>
      <c r="B33" s="7" t="s">
        <v>301</v>
      </c>
      <c r="C33" s="265" t="s">
        <v>38</v>
      </c>
      <c r="D33" s="231"/>
      <c r="E33" s="232"/>
      <c r="F33" s="231"/>
    </row>
    <row r="34" spans="1:6" x14ac:dyDescent="0.25">
      <c r="A34" s="3" t="s">
        <v>296</v>
      </c>
      <c r="B34" s="6" t="s">
        <v>297</v>
      </c>
      <c r="C34" s="235" t="s">
        <v>38</v>
      </c>
      <c r="D34" s="233"/>
      <c r="E34" s="234"/>
    </row>
    <row r="35" spans="1:6" x14ac:dyDescent="0.25">
      <c r="A35" s="4" t="s">
        <v>39</v>
      </c>
      <c r="B35" s="7" t="s">
        <v>295</v>
      </c>
      <c r="C35" s="236" t="s">
        <v>40</v>
      </c>
      <c r="D35" s="233"/>
      <c r="E35" s="234"/>
    </row>
    <row r="36" spans="1:6" x14ac:dyDescent="0.25">
      <c r="A36" s="3" t="s">
        <v>298</v>
      </c>
      <c r="B36" s="6" t="s">
        <v>299</v>
      </c>
      <c r="C36" s="235" t="s">
        <v>38</v>
      </c>
      <c r="D36" s="233"/>
      <c r="E36" s="234"/>
    </row>
    <row r="37" spans="1:6" x14ac:dyDescent="0.25">
      <c r="A37" s="8" t="s">
        <v>41</v>
      </c>
      <c r="B37" s="8"/>
      <c r="C37" s="8"/>
      <c r="D37" s="8"/>
      <c r="E37" s="8"/>
      <c r="F37" s="8"/>
    </row>
  </sheetData>
  <phoneticPr fontId="19"/>
  <conditionalFormatting sqref="D13:D16 C28">
    <cfRule type="cellIs" dxfId="9" priority="6" operator="greaterThan">
      <formula>0</formula>
    </cfRule>
    <cfRule type="cellIs" dxfId="8" priority="7" operator="lessThan">
      <formula>0</formula>
    </cfRule>
  </conditionalFormatting>
  <conditionalFormatting sqref="D21:D23">
    <cfRule type="cellIs" dxfId="7" priority="4" operator="greaterThan">
      <formula>0</formula>
    </cfRule>
    <cfRule type="cellIs" dxfId="6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FC34-480A-450F-8307-B385AD44F935}">
  <dimension ref="A1:E50"/>
  <sheetViews>
    <sheetView workbookViewId="0">
      <pane xSplit="2" ySplit="1" topLeftCell="C1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2" style="224" customWidth="1"/>
    <col min="2" max="2" width="74.28515625" style="224" customWidth="1"/>
    <col min="3" max="5" width="25.140625" style="224" customWidth="1"/>
    <col min="6" max="16384" width="9.140625" style="224"/>
  </cols>
  <sheetData>
    <row r="1" spans="1:5" x14ac:dyDescent="0.15">
      <c r="A1" s="238" t="s">
        <v>195</v>
      </c>
      <c r="B1" s="238" t="s">
        <v>160</v>
      </c>
      <c r="C1" s="238" t="s">
        <v>196</v>
      </c>
      <c r="D1" s="238" t="s">
        <v>197</v>
      </c>
      <c r="E1" s="238" t="s">
        <v>198</v>
      </c>
    </row>
    <row r="2" spans="1:5" x14ac:dyDescent="0.15">
      <c r="A2" s="224" t="s">
        <v>242</v>
      </c>
      <c r="B2" s="224" t="s">
        <v>239</v>
      </c>
      <c r="C2" s="239">
        <v>1080479</v>
      </c>
      <c r="D2" s="239">
        <v>921556</v>
      </c>
      <c r="E2" s="239">
        <v>864321</v>
      </c>
    </row>
    <row r="3" spans="1:5" x14ac:dyDescent="0.15">
      <c r="A3" s="224" t="s">
        <v>242</v>
      </c>
      <c r="B3" s="224" t="s">
        <v>191</v>
      </c>
      <c r="C3" s="239">
        <v>293573</v>
      </c>
      <c r="D3" s="239">
        <v>313730</v>
      </c>
      <c r="E3" s="239">
        <v>333248</v>
      </c>
    </row>
    <row r="4" spans="1:5" x14ac:dyDescent="0.15">
      <c r="A4" s="224" t="s">
        <v>242</v>
      </c>
      <c r="B4" s="224" t="s">
        <v>243</v>
      </c>
      <c r="C4" s="239">
        <v>4750</v>
      </c>
      <c r="D4" s="239">
        <v>48786</v>
      </c>
      <c r="E4" s="239">
        <v>-2976</v>
      </c>
    </row>
    <row r="5" spans="1:5" x14ac:dyDescent="0.15">
      <c r="A5" s="224" t="s">
        <v>242</v>
      </c>
      <c r="B5" s="224" t="s">
        <v>244</v>
      </c>
      <c r="C5" s="239">
        <v>8967</v>
      </c>
      <c r="D5" s="239">
        <v>10098</v>
      </c>
      <c r="E5" s="239">
        <v>3555</v>
      </c>
    </row>
    <row r="6" spans="1:5" x14ac:dyDescent="0.15">
      <c r="A6" s="224" t="s">
        <v>242</v>
      </c>
      <c r="B6" s="224" t="s">
        <v>245</v>
      </c>
      <c r="C6" s="239">
        <v>-198063</v>
      </c>
      <c r="D6" s="239">
        <v>-116348</v>
      </c>
      <c r="E6" s="239">
        <v>-35308</v>
      </c>
    </row>
    <row r="7" spans="1:5" x14ac:dyDescent="0.15">
      <c r="A7" s="224" t="s">
        <v>242</v>
      </c>
      <c r="B7" s="224" t="s">
        <v>246</v>
      </c>
      <c r="C7" s="239">
        <v>67035</v>
      </c>
      <c r="D7" s="239">
        <v>35818</v>
      </c>
      <c r="E7" s="239">
        <v>5830</v>
      </c>
    </row>
    <row r="8" spans="1:5" x14ac:dyDescent="0.15">
      <c r="A8" s="224" t="s">
        <v>242</v>
      </c>
      <c r="B8" s="224" t="s">
        <v>247</v>
      </c>
      <c r="C8" s="239">
        <v>-16166</v>
      </c>
      <c r="D8" s="239">
        <v>-57989</v>
      </c>
      <c r="E8" s="239">
        <v>-53207</v>
      </c>
    </row>
    <row r="9" spans="1:5" x14ac:dyDescent="0.15">
      <c r="A9" s="224" t="s">
        <v>242</v>
      </c>
      <c r="B9" s="224" t="s">
        <v>248</v>
      </c>
      <c r="C9" s="239">
        <v>-142922</v>
      </c>
      <c r="D9" s="239">
        <v>-95997</v>
      </c>
      <c r="E9" s="239">
        <v>-88685</v>
      </c>
    </row>
    <row r="10" spans="1:5" x14ac:dyDescent="0.15">
      <c r="A10" s="224" t="s">
        <v>242</v>
      </c>
      <c r="B10" s="224" t="s">
        <v>238</v>
      </c>
      <c r="C10" s="239">
        <v>221914</v>
      </c>
      <c r="D10" s="239">
        <v>213675</v>
      </c>
      <c r="E10" s="239">
        <v>222735</v>
      </c>
    </row>
    <row r="11" spans="1:5" x14ac:dyDescent="0.15">
      <c r="A11" s="224" t="s">
        <v>242</v>
      </c>
      <c r="B11" s="224" t="s">
        <v>249</v>
      </c>
      <c r="C11" s="239">
        <v>-491564</v>
      </c>
      <c r="D11" s="239">
        <v>-494076</v>
      </c>
      <c r="E11" s="239">
        <v>-447442</v>
      </c>
    </row>
    <row r="12" spans="1:5" x14ac:dyDescent="0.15">
      <c r="A12" s="224" t="s">
        <v>242</v>
      </c>
      <c r="B12" s="224" t="s">
        <v>250</v>
      </c>
      <c r="C12" s="239">
        <v>10173</v>
      </c>
      <c r="D12" s="239">
        <v>-10568</v>
      </c>
      <c r="E12" s="239">
        <v>-9895</v>
      </c>
    </row>
    <row r="13" spans="1:5" x14ac:dyDescent="0.15">
      <c r="A13" s="224" t="s">
        <v>242</v>
      </c>
      <c r="B13" s="224" t="s">
        <v>251</v>
      </c>
      <c r="C13" s="239">
        <v>-45636</v>
      </c>
      <c r="D13" s="239"/>
      <c r="E13" s="239"/>
    </row>
    <row r="14" spans="1:5" x14ac:dyDescent="0.15">
      <c r="A14" s="224" t="s">
        <v>252</v>
      </c>
      <c r="B14" s="224" t="s">
        <v>253</v>
      </c>
      <c r="C14" s="239">
        <v>-37128</v>
      </c>
      <c r="D14" s="239">
        <v>-101716</v>
      </c>
      <c r="E14" s="239">
        <v>-116844</v>
      </c>
    </row>
    <row r="15" spans="1:5" x14ac:dyDescent="0.15">
      <c r="A15" s="224" t="s">
        <v>252</v>
      </c>
      <c r="B15" s="224" t="s">
        <v>254</v>
      </c>
      <c r="C15" s="239">
        <v>53915</v>
      </c>
      <c r="D15" s="239">
        <v>5777</v>
      </c>
      <c r="E15" s="239">
        <v>-72872</v>
      </c>
    </row>
    <row r="16" spans="1:5" x14ac:dyDescent="0.15">
      <c r="A16" s="224" t="s">
        <v>252</v>
      </c>
      <c r="B16" s="224" t="s">
        <v>255</v>
      </c>
      <c r="C16" s="239">
        <v>30955</v>
      </c>
      <c r="D16" s="239">
        <v>16669</v>
      </c>
      <c r="E16" s="239">
        <v>153294</v>
      </c>
    </row>
    <row r="17" spans="1:5" x14ac:dyDescent="0.15">
      <c r="A17" s="224" t="s">
        <v>252</v>
      </c>
      <c r="B17" s="224" t="s">
        <v>256</v>
      </c>
      <c r="C17" s="239">
        <v>-54308</v>
      </c>
      <c r="D17" s="239">
        <v>-13286</v>
      </c>
      <c r="E17" s="239">
        <v>44831</v>
      </c>
    </row>
    <row r="18" spans="1:5" x14ac:dyDescent="0.15">
      <c r="A18" s="224" t="s">
        <v>252</v>
      </c>
      <c r="B18" s="224" t="s">
        <v>257</v>
      </c>
      <c r="C18" s="239">
        <v>-72903</v>
      </c>
      <c r="D18" s="239">
        <v>-83596</v>
      </c>
      <c r="E18" s="239">
        <v>-20177</v>
      </c>
    </row>
    <row r="19" spans="1:5" x14ac:dyDescent="0.15">
      <c r="A19" s="224" t="s">
        <v>252</v>
      </c>
      <c r="B19" s="224" t="s">
        <v>162</v>
      </c>
      <c r="C19" s="239">
        <v>-125936</v>
      </c>
      <c r="D19" s="239">
        <v>76129</v>
      </c>
      <c r="E19" s="239">
        <v>-123423</v>
      </c>
    </row>
    <row r="20" spans="1:5" x14ac:dyDescent="0.15">
      <c r="A20" s="224" t="s">
        <v>242</v>
      </c>
      <c r="B20" s="224" t="s">
        <v>258</v>
      </c>
      <c r="C20" s="239">
        <v>91893</v>
      </c>
      <c r="D20" s="239">
        <v>97951</v>
      </c>
      <c r="E20" s="239">
        <v>88805</v>
      </c>
    </row>
    <row r="21" spans="1:5" x14ac:dyDescent="0.15">
      <c r="A21" s="224" t="s">
        <v>242</v>
      </c>
      <c r="B21" s="224" t="s">
        <v>259</v>
      </c>
      <c r="C21" s="239">
        <v>-157442</v>
      </c>
      <c r="D21" s="239">
        <v>-199042</v>
      </c>
      <c r="E21" s="239">
        <v>-180118</v>
      </c>
    </row>
    <row r="22" spans="1:5" x14ac:dyDescent="0.15">
      <c r="A22" s="224" t="s">
        <v>242</v>
      </c>
      <c r="B22" s="224" t="s">
        <v>164</v>
      </c>
      <c r="C22" s="239">
        <v>550836</v>
      </c>
      <c r="D22" s="239">
        <v>636061</v>
      </c>
      <c r="E22" s="239">
        <v>550639</v>
      </c>
    </row>
    <row r="23" spans="1:5" x14ac:dyDescent="0.15">
      <c r="A23" s="224" t="s">
        <v>242</v>
      </c>
      <c r="B23" s="224" t="s">
        <v>260</v>
      </c>
      <c r="C23" s="239">
        <v>-208003</v>
      </c>
      <c r="D23" s="239">
        <v>-186114</v>
      </c>
      <c r="E23" s="239">
        <v>-163399</v>
      </c>
    </row>
    <row r="24" spans="1:5" x14ac:dyDescent="0.15">
      <c r="A24" s="224" t="s">
        <v>242</v>
      </c>
      <c r="B24" s="224" t="s">
        <v>261</v>
      </c>
      <c r="C24" s="239">
        <v>864419</v>
      </c>
      <c r="D24" s="239">
        <v>1017518</v>
      </c>
      <c r="E24" s="239">
        <v>952912</v>
      </c>
    </row>
    <row r="25" spans="1:5" x14ac:dyDescent="0.15">
      <c r="A25" s="224" t="s">
        <v>262</v>
      </c>
      <c r="B25" s="224" t="s">
        <v>263</v>
      </c>
      <c r="C25" s="239">
        <v>2955</v>
      </c>
      <c r="D25" s="239">
        <v>1730</v>
      </c>
      <c r="E25" s="239">
        <v>3437</v>
      </c>
    </row>
    <row r="26" spans="1:5" x14ac:dyDescent="0.15">
      <c r="A26" s="224" t="s">
        <v>262</v>
      </c>
      <c r="B26" s="224" t="s">
        <v>264</v>
      </c>
      <c r="C26" s="239">
        <v>-449802</v>
      </c>
      <c r="D26" s="239">
        <v>-255066</v>
      </c>
      <c r="E26" s="239">
        <v>-159528</v>
      </c>
    </row>
    <row r="27" spans="1:5" x14ac:dyDescent="0.15">
      <c r="A27" s="224" t="s">
        <v>262</v>
      </c>
      <c r="B27" s="224" t="s">
        <v>265</v>
      </c>
      <c r="C27" s="239">
        <v>143716</v>
      </c>
      <c r="D27" s="239">
        <v>214510</v>
      </c>
      <c r="E27" s="239">
        <v>68653</v>
      </c>
    </row>
    <row r="28" spans="1:5" x14ac:dyDescent="0.15">
      <c r="A28" s="224" t="s">
        <v>262</v>
      </c>
      <c r="B28" s="224" t="s">
        <v>266</v>
      </c>
      <c r="C28" s="239">
        <v>-92432</v>
      </c>
      <c r="D28" s="239">
        <v>-57494</v>
      </c>
      <c r="E28" s="239">
        <v>-48135</v>
      </c>
    </row>
    <row r="29" spans="1:5" x14ac:dyDescent="0.15">
      <c r="A29" s="224" t="s">
        <v>262</v>
      </c>
      <c r="B29" s="224" t="s">
        <v>267</v>
      </c>
      <c r="C29" s="239">
        <v>112556</v>
      </c>
      <c r="D29" s="239">
        <v>162304</v>
      </c>
      <c r="E29" s="239">
        <v>116102</v>
      </c>
    </row>
    <row r="30" spans="1:5" x14ac:dyDescent="0.15">
      <c r="A30" s="224" t="s">
        <v>262</v>
      </c>
      <c r="B30" s="224" t="s">
        <v>268</v>
      </c>
      <c r="C30" s="239">
        <v>-15768</v>
      </c>
      <c r="D30" s="239">
        <v>-28125</v>
      </c>
      <c r="E30" s="239">
        <v>-34818</v>
      </c>
    </row>
    <row r="31" spans="1:5" x14ac:dyDescent="0.15">
      <c r="A31" s="224" t="s">
        <v>262</v>
      </c>
      <c r="B31" s="224" t="s">
        <v>269</v>
      </c>
      <c r="C31" s="239">
        <v>39783</v>
      </c>
      <c r="D31" s="239">
        <v>66756</v>
      </c>
      <c r="E31" s="239">
        <v>34755</v>
      </c>
    </row>
    <row r="32" spans="1:5" x14ac:dyDescent="0.15">
      <c r="A32" s="224" t="s">
        <v>262</v>
      </c>
      <c r="B32" s="224" t="s">
        <v>270</v>
      </c>
      <c r="C32" s="239">
        <v>-294771</v>
      </c>
      <c r="D32" s="239">
        <v>-346147</v>
      </c>
      <c r="E32" s="239">
        <v>-1108399</v>
      </c>
    </row>
    <row r="33" spans="1:5" x14ac:dyDescent="0.15">
      <c r="A33" s="224" t="s">
        <v>262</v>
      </c>
      <c r="B33" s="224" t="s">
        <v>271</v>
      </c>
      <c r="C33" s="239">
        <v>50507</v>
      </c>
      <c r="D33" s="239">
        <v>13311</v>
      </c>
      <c r="E33" s="239">
        <v>74599</v>
      </c>
    </row>
    <row r="34" spans="1:5" x14ac:dyDescent="0.15">
      <c r="A34" s="224" t="s">
        <v>262</v>
      </c>
      <c r="B34" s="224" t="s">
        <v>272</v>
      </c>
      <c r="C34" s="239">
        <v>-8481</v>
      </c>
      <c r="D34" s="239">
        <v>-12671</v>
      </c>
      <c r="E34" s="239">
        <v>-1187</v>
      </c>
    </row>
    <row r="35" spans="1:5" x14ac:dyDescent="0.15">
      <c r="A35" s="224" t="s">
        <v>262</v>
      </c>
      <c r="B35" s="224" t="s">
        <v>273</v>
      </c>
      <c r="C35" s="239">
        <v>37573</v>
      </c>
      <c r="D35" s="239">
        <v>120124</v>
      </c>
      <c r="E35" s="239">
        <v>48964</v>
      </c>
    </row>
    <row r="36" spans="1:5" x14ac:dyDescent="0.15">
      <c r="A36" s="224" t="s">
        <v>262</v>
      </c>
      <c r="B36" s="224" t="s">
        <v>274</v>
      </c>
      <c r="C36" s="239">
        <v>-106302</v>
      </c>
      <c r="D36" s="239">
        <v>-65269</v>
      </c>
      <c r="E36" s="239">
        <v>-27965</v>
      </c>
    </row>
    <row r="37" spans="1:5" x14ac:dyDescent="0.15">
      <c r="A37" s="224" t="s">
        <v>262</v>
      </c>
      <c r="B37" s="224" t="s">
        <v>275</v>
      </c>
      <c r="C37" s="239">
        <v>152919</v>
      </c>
      <c r="D37" s="239">
        <v>24049</v>
      </c>
      <c r="E37" s="239">
        <v>0</v>
      </c>
    </row>
    <row r="38" spans="1:5" x14ac:dyDescent="0.15">
      <c r="A38" s="224" t="s">
        <v>262</v>
      </c>
      <c r="B38" s="224" t="s">
        <v>276</v>
      </c>
      <c r="C38" s="239">
        <v>-427547</v>
      </c>
      <c r="D38" s="239">
        <v>-161988</v>
      </c>
      <c r="E38" s="239">
        <v>-1033522</v>
      </c>
    </row>
    <row r="39" spans="1:5" x14ac:dyDescent="0.15">
      <c r="A39" s="224" t="s">
        <v>277</v>
      </c>
      <c r="B39" s="224" t="s">
        <v>278</v>
      </c>
      <c r="C39" s="239">
        <v>-203168</v>
      </c>
      <c r="D39" s="239">
        <v>-81933</v>
      </c>
      <c r="E39" s="239">
        <v>-16274</v>
      </c>
    </row>
    <row r="40" spans="1:5" x14ac:dyDescent="0.15">
      <c r="A40" s="224" t="s">
        <v>277</v>
      </c>
      <c r="B40" s="224" t="s">
        <v>279</v>
      </c>
      <c r="C40" s="239">
        <v>860848</v>
      </c>
      <c r="D40" s="239">
        <v>1470993</v>
      </c>
      <c r="E40" s="239">
        <v>2637829</v>
      </c>
    </row>
    <row r="41" spans="1:5" x14ac:dyDescent="0.15">
      <c r="A41" s="224" t="s">
        <v>277</v>
      </c>
      <c r="B41" s="224" t="s">
        <v>280</v>
      </c>
      <c r="C41" s="239">
        <v>-1204625</v>
      </c>
      <c r="D41" s="239">
        <v>-1344562</v>
      </c>
      <c r="E41" s="239">
        <v>-1961568</v>
      </c>
    </row>
    <row r="42" spans="1:5" x14ac:dyDescent="0.15">
      <c r="A42" s="224" t="s">
        <v>277</v>
      </c>
      <c r="B42" s="224" t="s">
        <v>192</v>
      </c>
      <c r="C42" s="239">
        <v>-73984</v>
      </c>
      <c r="D42" s="239">
        <v>-90066</v>
      </c>
      <c r="E42" s="239">
        <v>-109198</v>
      </c>
    </row>
    <row r="43" spans="1:5" x14ac:dyDescent="0.15">
      <c r="A43" s="224" t="s">
        <v>277</v>
      </c>
      <c r="B43" s="224" t="s">
        <v>281</v>
      </c>
      <c r="C43" s="239">
        <v>-139259</v>
      </c>
      <c r="D43" s="239">
        <v>-399758</v>
      </c>
      <c r="E43" s="239">
        <v>-199584</v>
      </c>
    </row>
    <row r="44" spans="1:5" x14ac:dyDescent="0.15">
      <c r="A44" s="224" t="s">
        <v>277</v>
      </c>
      <c r="B44" s="224" t="s">
        <v>282</v>
      </c>
      <c r="C44" s="239">
        <v>-242368</v>
      </c>
      <c r="D44" s="239">
        <v>-274157</v>
      </c>
      <c r="E44" s="239">
        <v>-301817</v>
      </c>
    </row>
    <row r="45" spans="1:5" x14ac:dyDescent="0.15">
      <c r="A45" s="224" t="s">
        <v>277</v>
      </c>
      <c r="B45" s="224" t="s">
        <v>283</v>
      </c>
      <c r="C45" s="239">
        <v>-10522</v>
      </c>
      <c r="D45" s="239">
        <v>-30119</v>
      </c>
      <c r="E45" s="239">
        <v>-22492</v>
      </c>
    </row>
    <row r="46" spans="1:5" x14ac:dyDescent="0.15">
      <c r="A46" s="224" t="s">
        <v>277</v>
      </c>
      <c r="B46" s="224" t="s">
        <v>284</v>
      </c>
      <c r="C46" s="239">
        <v>-1013078</v>
      </c>
      <c r="D46" s="239">
        <v>-749602</v>
      </c>
      <c r="E46" s="239">
        <v>26896</v>
      </c>
    </row>
    <row r="47" spans="1:5" x14ac:dyDescent="0.15">
      <c r="A47" s="224" t="s">
        <v>285</v>
      </c>
      <c r="B47" s="224" t="s">
        <v>193</v>
      </c>
      <c r="C47" s="239">
        <v>84280</v>
      </c>
      <c r="D47" s="239">
        <v>-26776</v>
      </c>
      <c r="E47" s="239">
        <v>59080</v>
      </c>
    </row>
    <row r="48" spans="1:5" x14ac:dyDescent="0.15">
      <c r="A48" s="224" t="s">
        <v>285</v>
      </c>
      <c r="B48" s="224" t="s">
        <v>286</v>
      </c>
      <c r="C48" s="239">
        <v>-491926</v>
      </c>
      <c r="D48" s="239">
        <v>79152</v>
      </c>
      <c r="E48" s="239">
        <v>5366</v>
      </c>
    </row>
    <row r="49" spans="1:5" x14ac:dyDescent="0.15">
      <c r="A49" s="224" t="s">
        <v>285</v>
      </c>
      <c r="B49" s="224" t="s">
        <v>287</v>
      </c>
      <c r="C49" s="239">
        <v>1390130</v>
      </c>
      <c r="D49" s="239">
        <v>898204</v>
      </c>
      <c r="E49" s="239">
        <v>977356</v>
      </c>
    </row>
    <row r="50" spans="1:5" x14ac:dyDescent="0.15">
      <c r="A50" s="224" t="s">
        <v>285</v>
      </c>
      <c r="B50" s="224" t="s">
        <v>288</v>
      </c>
      <c r="C50" s="239">
        <v>898204</v>
      </c>
      <c r="D50" s="239">
        <v>977356</v>
      </c>
      <c r="E50" s="239">
        <v>982722</v>
      </c>
    </row>
  </sheetData>
  <phoneticPr fontId="1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634D-FF6C-4127-AECA-84C2C68051C8}">
  <sheetPr>
    <tabColor theme="0" tint="-0.499984740745262"/>
  </sheetPr>
  <dimension ref="A1:XFC43"/>
  <sheetViews>
    <sheetView showGridLines="0" zoomScaleNormal="100" workbookViewId="0">
      <selection activeCell="F17" sqref="F17"/>
    </sheetView>
  </sheetViews>
  <sheetFormatPr defaultColWidth="0" defaultRowHeight="15" x14ac:dyDescent="0.25"/>
  <cols>
    <col min="1" max="1" width="3.140625" customWidth="1"/>
    <col min="2" max="2" width="57.7109375" customWidth="1"/>
    <col min="3" max="6" width="15.7109375" customWidth="1"/>
    <col min="7" max="7" width="71.5703125" bestFit="1" customWidth="1"/>
    <col min="8" max="16383" width="8.7109375" hidden="1"/>
    <col min="16384" max="16384" width="3.140625" hidden="1"/>
  </cols>
  <sheetData>
    <row r="1" spans="1:7" ht="21.75" customHeight="1" x14ac:dyDescent="0.25">
      <c r="A1" s="229" t="str">
        <f>Dashboard!$B$4&amp;" "&amp;Dashboard!$B$5</f>
        <v>Mitsui&amp;Co. 8031.T</v>
      </c>
      <c r="B1" s="218"/>
      <c r="C1" s="218"/>
      <c r="D1" s="218"/>
      <c r="E1" s="218"/>
      <c r="F1" s="218"/>
      <c r="G1" s="218"/>
    </row>
    <row r="2" spans="1:7" ht="21.75" customHeight="1" x14ac:dyDescent="0.25">
      <c r="A2" s="230" t="s">
        <v>152</v>
      </c>
      <c r="B2" s="219"/>
      <c r="C2" s="219"/>
      <c r="D2" s="219"/>
      <c r="E2" s="219"/>
      <c r="F2" s="219"/>
      <c r="G2" s="219"/>
    </row>
    <row r="3" spans="1:7" x14ac:dyDescent="0.25">
      <c r="A3" s="220"/>
      <c r="B3" s="220"/>
      <c r="C3" s="220"/>
      <c r="D3" s="221"/>
      <c r="E3" s="221"/>
      <c r="F3" s="221"/>
      <c r="G3" s="222"/>
    </row>
    <row r="4" spans="1:7" x14ac:dyDescent="0.25">
      <c r="A4" s="146" t="s">
        <v>93</v>
      </c>
      <c r="B4" s="146"/>
      <c r="C4" s="146"/>
      <c r="D4" s="147"/>
      <c r="E4" s="147"/>
      <c r="F4" s="147"/>
      <c r="G4" s="148"/>
    </row>
    <row r="5" spans="1:7" x14ac:dyDescent="0.25">
      <c r="A5" s="29"/>
      <c r="B5" s="181"/>
      <c r="C5" s="181" t="s">
        <v>46</v>
      </c>
      <c r="D5" s="84" t="s">
        <v>94</v>
      </c>
      <c r="G5" s="30"/>
    </row>
    <row r="6" spans="1:7" x14ac:dyDescent="0.25">
      <c r="A6" s="29"/>
      <c r="B6" s="174" t="s">
        <v>61</v>
      </c>
      <c r="C6" s="174" t="s">
        <v>73</v>
      </c>
      <c r="D6" s="184">
        <f>F34</f>
        <v>5959</v>
      </c>
      <c r="G6" s="30"/>
    </row>
    <row r="7" spans="1:7" x14ac:dyDescent="0.25">
      <c r="A7" s="29"/>
      <c r="B7" s="168" t="s">
        <v>82</v>
      </c>
      <c r="C7" s="168" t="s">
        <v>84</v>
      </c>
      <c r="D7" s="183">
        <f t="shared" ref="D7:D14" si="0">F35</f>
        <v>2834188</v>
      </c>
      <c r="G7" s="30"/>
    </row>
    <row r="8" spans="1:7" x14ac:dyDescent="0.25">
      <c r="A8" s="29"/>
      <c r="B8" s="168" t="s">
        <v>92</v>
      </c>
      <c r="C8" s="116" t="s">
        <v>55</v>
      </c>
      <c r="D8" s="183">
        <f t="shared" si="0"/>
        <v>16888926.291999999</v>
      </c>
      <c r="G8" s="30"/>
    </row>
    <row r="9" spans="1:7" x14ac:dyDescent="0.25">
      <c r="A9" s="29"/>
      <c r="B9" s="116" t="s">
        <v>98</v>
      </c>
      <c r="C9" s="116" t="s">
        <v>73</v>
      </c>
      <c r="D9" s="183">
        <f t="shared" si="0"/>
        <v>115</v>
      </c>
      <c r="G9" s="30"/>
    </row>
    <row r="10" spans="1:7" x14ac:dyDescent="0.25">
      <c r="A10" s="29"/>
      <c r="B10" s="182" t="s">
        <v>77</v>
      </c>
      <c r="C10" s="182" t="s">
        <v>78</v>
      </c>
      <c r="D10" s="185">
        <f t="shared" si="0"/>
        <v>1.9298540023493876E-2</v>
      </c>
      <c r="G10" s="30"/>
    </row>
    <row r="11" spans="1:7" x14ac:dyDescent="0.25">
      <c r="A11" s="29"/>
      <c r="B11" s="182" t="s">
        <v>58</v>
      </c>
      <c r="C11" s="182" t="s">
        <v>66</v>
      </c>
      <c r="D11" s="183">
        <f t="shared" si="0"/>
        <v>294.25394504528282</v>
      </c>
      <c r="G11" s="30"/>
    </row>
    <row r="12" spans="1:7" x14ac:dyDescent="0.25">
      <c r="A12" s="29"/>
      <c r="B12" s="182" t="s">
        <v>72</v>
      </c>
      <c r="C12" s="182" t="s">
        <v>66</v>
      </c>
      <c r="D12" s="183">
        <f t="shared" si="0"/>
        <v>3093.5647176545804</v>
      </c>
      <c r="G12" s="30"/>
    </row>
    <row r="13" spans="1:7" x14ac:dyDescent="0.25">
      <c r="A13" s="29"/>
      <c r="B13" s="182" t="s">
        <v>63</v>
      </c>
      <c r="C13" s="182" t="s">
        <v>65</v>
      </c>
      <c r="D13" s="187">
        <f t="shared" si="0"/>
        <v>20.251215320436803</v>
      </c>
      <c r="G13" s="30"/>
    </row>
    <row r="14" spans="1:7" x14ac:dyDescent="0.25">
      <c r="A14" s="29"/>
      <c r="B14" s="182" t="s">
        <v>80</v>
      </c>
      <c r="C14" s="182" t="s">
        <v>65</v>
      </c>
      <c r="D14" s="186">
        <f t="shared" si="0"/>
        <v>1.926256776201495</v>
      </c>
      <c r="G14" s="30"/>
    </row>
    <row r="15" spans="1:7" x14ac:dyDescent="0.25">
      <c r="A15" s="29"/>
      <c r="B15" s="75"/>
      <c r="C15" s="75"/>
      <c r="D15" s="75"/>
      <c r="G15" s="30"/>
    </row>
    <row r="16" spans="1:7" x14ac:dyDescent="0.25">
      <c r="A16" s="149" t="s">
        <v>90</v>
      </c>
      <c r="B16" s="150"/>
      <c r="C16" s="150"/>
      <c r="D16" s="150"/>
      <c r="E16" s="147"/>
      <c r="F16" s="147"/>
      <c r="G16" s="148"/>
    </row>
    <row r="17" spans="1:7" x14ac:dyDescent="0.25">
      <c r="A17" s="77"/>
      <c r="B17" s="78"/>
      <c r="C17" s="78"/>
      <c r="D17" s="79" t="s">
        <v>43</v>
      </c>
      <c r="E17" s="79" t="s">
        <v>44</v>
      </c>
      <c r="F17" s="79" t="s">
        <v>45</v>
      </c>
      <c r="G17" s="80"/>
    </row>
    <row r="18" spans="1:7" ht="30" customHeight="1" x14ac:dyDescent="0.25">
      <c r="A18" s="81"/>
      <c r="B18" s="81"/>
      <c r="C18" s="81" t="s">
        <v>46</v>
      </c>
      <c r="D18" s="82" t="s">
        <v>59</v>
      </c>
      <c r="E18" s="82" t="s">
        <v>59</v>
      </c>
      <c r="F18" s="82" t="s">
        <v>59</v>
      </c>
      <c r="G18" s="83" t="s">
        <v>85</v>
      </c>
    </row>
    <row r="19" spans="1:7" ht="18" customHeight="1" x14ac:dyDescent="0.25">
      <c r="A19" s="47" t="s">
        <v>67</v>
      </c>
      <c r="B19" s="48"/>
      <c r="C19" s="48"/>
      <c r="D19" s="76"/>
      <c r="E19" s="49"/>
      <c r="F19" s="49"/>
      <c r="G19" s="50"/>
    </row>
    <row r="20" spans="1:7" x14ac:dyDescent="0.25">
      <c r="A20" s="1"/>
      <c r="B20" s="1" t="s">
        <v>56</v>
      </c>
      <c r="C20" s="1" t="s">
        <v>47</v>
      </c>
      <c r="D20" s="54">
        <f>PL!C19</f>
        <v>1063684</v>
      </c>
      <c r="E20" s="54">
        <f>PL!D19</f>
        <v>900342</v>
      </c>
      <c r="F20" s="54">
        <f>PL!E19</f>
        <v>833971</v>
      </c>
      <c r="G20" s="64"/>
    </row>
    <row r="21" spans="1:7" x14ac:dyDescent="0.25">
      <c r="A21" s="51" t="s">
        <v>68</v>
      </c>
      <c r="B21" s="52"/>
      <c r="C21" s="52"/>
      <c r="D21" s="56"/>
      <c r="E21" s="56"/>
      <c r="F21" s="56"/>
      <c r="G21" s="65"/>
    </row>
    <row r="22" spans="1:7" x14ac:dyDescent="0.25">
      <c r="A22" s="1"/>
      <c r="B22" s="1" t="s">
        <v>52</v>
      </c>
      <c r="C22" s="1" t="s">
        <v>47</v>
      </c>
      <c r="D22" s="55">
        <f>CF!C24</f>
        <v>864419</v>
      </c>
      <c r="E22" s="55">
        <f>CF!D24</f>
        <v>1017518</v>
      </c>
      <c r="F22" s="55">
        <f>CF!E24</f>
        <v>952912</v>
      </c>
      <c r="G22" s="64"/>
    </row>
    <row r="23" spans="1:7" x14ac:dyDescent="0.25">
      <c r="A23" s="1"/>
      <c r="B23" s="34" t="s">
        <v>291</v>
      </c>
      <c r="C23" s="1" t="s">
        <v>47</v>
      </c>
      <c r="D23" s="55"/>
      <c r="E23" s="55"/>
      <c r="F23" s="55"/>
      <c r="G23" s="64"/>
    </row>
    <row r="24" spans="1:7" x14ac:dyDescent="0.25">
      <c r="A24" s="1"/>
      <c r="B24" s="1" t="s">
        <v>53</v>
      </c>
      <c r="C24" s="1" t="s">
        <v>47</v>
      </c>
      <c r="D24" s="55">
        <f>CF!C38</f>
        <v>-427547</v>
      </c>
      <c r="E24" s="55">
        <f>CF!D38</f>
        <v>-161988</v>
      </c>
      <c r="F24" s="55">
        <f>CF!E38</f>
        <v>-1033522</v>
      </c>
      <c r="G24" s="64"/>
    </row>
    <row r="25" spans="1:7" x14ac:dyDescent="0.25">
      <c r="A25" s="1"/>
      <c r="B25" s="1" t="s">
        <v>54</v>
      </c>
      <c r="C25" s="1" t="s">
        <v>47</v>
      </c>
      <c r="D25" s="55">
        <f>D22+D24</f>
        <v>436872</v>
      </c>
      <c r="E25" s="55">
        <f>E22+E24</f>
        <v>855530</v>
      </c>
      <c r="F25" s="55">
        <f>F22+F24</f>
        <v>-80610</v>
      </c>
      <c r="G25" s="64"/>
    </row>
    <row r="26" spans="1:7" x14ac:dyDescent="0.25">
      <c r="A26" s="51" t="s">
        <v>69</v>
      </c>
      <c r="B26" s="51"/>
      <c r="C26" s="51"/>
      <c r="D26" s="57"/>
      <c r="E26" s="58"/>
      <c r="F26" s="58"/>
      <c r="G26" s="66"/>
    </row>
    <row r="27" spans="1:7" x14ac:dyDescent="0.25">
      <c r="A27" s="1"/>
      <c r="B27" s="1" t="s">
        <v>70</v>
      </c>
      <c r="C27" s="1" t="s">
        <v>47</v>
      </c>
      <c r="D27" s="59">
        <f>BS_Assets!C20</f>
        <v>16899502</v>
      </c>
      <c r="E27" s="59">
        <f>BS_Assets!D20</f>
        <v>16811509</v>
      </c>
      <c r="F27" s="59">
        <f>BS_Assets!E20</f>
        <v>20821528</v>
      </c>
      <c r="G27" s="67"/>
    </row>
    <row r="28" spans="1:7" x14ac:dyDescent="0.25">
      <c r="A28" s="33"/>
      <c r="B28" s="46" t="s">
        <v>74</v>
      </c>
      <c r="C28" s="36" t="s">
        <v>55</v>
      </c>
      <c r="D28" s="59">
        <f>BS_Assets!C2</f>
        <v>898204</v>
      </c>
      <c r="E28" s="59">
        <f>BS_Assets!D2</f>
        <v>977356</v>
      </c>
      <c r="F28" s="59">
        <f>BS_Assets!E2</f>
        <v>982722</v>
      </c>
      <c r="G28" s="67"/>
    </row>
    <row r="29" spans="1:7" x14ac:dyDescent="0.25">
      <c r="A29" s="1"/>
      <c r="B29" s="1" t="s">
        <v>71</v>
      </c>
      <c r="C29" s="1" t="s">
        <v>47</v>
      </c>
      <c r="D29" s="59">
        <f>BS_Liab_Equity!C26</f>
        <v>7769943</v>
      </c>
      <c r="E29" s="59">
        <f>BS_Liab_Equity!D26</f>
        <v>7762632</v>
      </c>
      <c r="F29" s="59">
        <f>BS_Liab_Equity!E26</f>
        <v>9017921</v>
      </c>
      <c r="G29" s="64"/>
    </row>
    <row r="30" spans="1:7" x14ac:dyDescent="0.25">
      <c r="A30" s="1"/>
      <c r="B30" s="45" t="s">
        <v>50</v>
      </c>
      <c r="C30" s="1" t="s">
        <v>47</v>
      </c>
      <c r="D30" s="59">
        <f>BS_Liab_Equity!C24</f>
        <v>7541848</v>
      </c>
      <c r="E30" s="59">
        <f>BS_Liab_Equity!D24</f>
        <v>7546615</v>
      </c>
      <c r="F30" s="59">
        <f>BS_Liab_Equity!E24</f>
        <v>8767744</v>
      </c>
      <c r="G30" s="64"/>
    </row>
    <row r="31" spans="1:7" x14ac:dyDescent="0.25">
      <c r="A31" s="33"/>
      <c r="B31" s="35"/>
      <c r="C31" s="36"/>
      <c r="D31" s="59"/>
      <c r="E31" s="59"/>
      <c r="F31" s="241"/>
      <c r="G31" s="67"/>
    </row>
    <row r="32" spans="1:7" x14ac:dyDescent="0.25">
      <c r="D32" s="60"/>
      <c r="E32" s="60"/>
      <c r="F32" s="240"/>
      <c r="G32" s="68"/>
    </row>
    <row r="33" spans="1:7" x14ac:dyDescent="0.25">
      <c r="A33" s="53" t="s">
        <v>75</v>
      </c>
      <c r="B33" s="53"/>
      <c r="C33" s="53"/>
      <c r="D33" s="61"/>
      <c r="E33" s="61"/>
      <c r="F33" s="61"/>
      <c r="G33" s="69"/>
    </row>
    <row r="34" spans="1:7" x14ac:dyDescent="0.25">
      <c r="A34" s="38"/>
      <c r="B34" s="22" t="s">
        <v>61</v>
      </c>
      <c r="C34" s="22" t="s">
        <v>73</v>
      </c>
      <c r="D34" s="237">
        <v>3553</v>
      </c>
      <c r="E34" s="237">
        <v>2799.5</v>
      </c>
      <c r="F34" s="237">
        <v>5959</v>
      </c>
      <c r="G34" s="44"/>
    </row>
    <row r="35" spans="1:7" x14ac:dyDescent="0.25">
      <c r="A35" s="37"/>
      <c r="B35" s="35" t="s">
        <v>82</v>
      </c>
      <c r="C35" s="35" t="s">
        <v>84</v>
      </c>
      <c r="D35" s="59">
        <v>2994700</v>
      </c>
      <c r="E35" s="59">
        <v>2873757</v>
      </c>
      <c r="F35" s="59">
        <v>2834188</v>
      </c>
      <c r="G35" s="67"/>
    </row>
    <row r="36" spans="1:7" x14ac:dyDescent="0.25">
      <c r="A36" s="37"/>
      <c r="B36" s="35" t="s">
        <v>92</v>
      </c>
      <c r="C36" s="36" t="s">
        <v>55</v>
      </c>
      <c r="D36" s="59">
        <f>D34*D35/10^3</f>
        <v>10640169.1</v>
      </c>
      <c r="E36" s="59">
        <f t="shared" ref="E36:F36" si="1">E34*E35/10^3</f>
        <v>8045082.7215</v>
      </c>
      <c r="F36" s="59">
        <f t="shared" si="1"/>
        <v>16888926.291999999</v>
      </c>
      <c r="G36" s="67"/>
    </row>
    <row r="37" spans="1:7" x14ac:dyDescent="0.25">
      <c r="A37" s="85"/>
      <c r="B37" s="1" t="s">
        <v>98</v>
      </c>
      <c r="C37" s="1" t="s">
        <v>73</v>
      </c>
      <c r="D37" s="225">
        <v>85</v>
      </c>
      <c r="E37" s="225">
        <v>100</v>
      </c>
      <c r="F37" s="225">
        <v>115</v>
      </c>
      <c r="G37" s="64"/>
    </row>
    <row r="38" spans="1:7" s="41" customFormat="1" ht="14.25" x14ac:dyDescent="0.2">
      <c r="A38" s="39"/>
      <c r="B38" s="40" t="s">
        <v>77</v>
      </c>
      <c r="C38" s="40" t="s">
        <v>78</v>
      </c>
      <c r="D38" s="62">
        <f>D37/D34</f>
        <v>2.3923444976076555E-2</v>
      </c>
      <c r="E38" s="62">
        <f>E37/E34</f>
        <v>3.5720664404357921E-2</v>
      </c>
      <c r="F38" s="62">
        <f>F37/F34</f>
        <v>1.9298540023493876E-2</v>
      </c>
      <c r="G38" s="70"/>
    </row>
    <row r="39" spans="1:7" s="41" customFormat="1" ht="14.25" x14ac:dyDescent="0.2">
      <c r="A39" s="39"/>
      <c r="B39" s="40" t="s">
        <v>58</v>
      </c>
      <c r="C39" s="40" t="s">
        <v>66</v>
      </c>
      <c r="D39" s="226">
        <f>D20*10^3/D35</f>
        <v>355.18883360603735</v>
      </c>
      <c r="E39" s="226">
        <f>E20*10^3/E35</f>
        <v>313.2978884435949</v>
      </c>
      <c r="F39" s="226">
        <f>F20*10^3/F35</f>
        <v>294.25394504528282</v>
      </c>
      <c r="G39" s="70"/>
    </row>
    <row r="40" spans="1:7" s="41" customFormat="1" ht="14.25" x14ac:dyDescent="0.2">
      <c r="A40" s="39"/>
      <c r="B40" s="40" t="s">
        <v>72</v>
      </c>
      <c r="C40" s="40" t="s">
        <v>66</v>
      </c>
      <c r="D40" s="59">
        <f>D30*10^3/D35</f>
        <v>2518.3985040237753</v>
      </c>
      <c r="E40" s="59">
        <f>E30*10^3/E35</f>
        <v>2626.0449300340983</v>
      </c>
      <c r="F40" s="59">
        <f>F30*10^3/F35</f>
        <v>3093.5647176545804</v>
      </c>
      <c r="G40" s="70"/>
    </row>
    <row r="41" spans="1:7" s="41" customFormat="1" x14ac:dyDescent="0.25">
      <c r="A41" s="42"/>
      <c r="B41" s="43" t="s">
        <v>63</v>
      </c>
      <c r="C41" s="43" t="s">
        <v>65</v>
      </c>
      <c r="D41" s="63">
        <f>D34/D39</f>
        <v>10.003129782905448</v>
      </c>
      <c r="E41" s="63">
        <f>E34/E39</f>
        <v>8.9355852792605486</v>
      </c>
      <c r="F41" s="63">
        <f>F34/F39</f>
        <v>20.251215320436803</v>
      </c>
      <c r="G41" s="71"/>
    </row>
    <row r="42" spans="1:7" s="41" customFormat="1" x14ac:dyDescent="0.25">
      <c r="A42" s="42"/>
      <c r="B42" s="43" t="s">
        <v>80</v>
      </c>
      <c r="C42" s="43" t="s">
        <v>65</v>
      </c>
      <c r="D42" s="63">
        <f>D34/D40</f>
        <v>1.410817229411147</v>
      </c>
      <c r="E42" s="63">
        <f>E34/E40</f>
        <v>1.0660518287338097</v>
      </c>
      <c r="F42" s="63">
        <f>F34/F40</f>
        <v>1.926256776201495</v>
      </c>
      <c r="G42" s="70"/>
    </row>
    <row r="43" spans="1:7" x14ac:dyDescent="0.25">
      <c r="B43" s="31"/>
      <c r="C43" s="31"/>
      <c r="D43" s="32"/>
      <c r="E43" s="32"/>
      <c r="F43" s="32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XFC51"/>
  <sheetViews>
    <sheetView showGridLines="0" zoomScaleNormal="100" workbookViewId="0">
      <pane ySplit="3" topLeftCell="A4" activePane="bottomLeft" state="frozen"/>
      <selection pane="bottomLeft" activeCell="C18" sqref="C18"/>
    </sheetView>
  </sheetViews>
  <sheetFormatPr defaultColWidth="0" defaultRowHeight="15" x14ac:dyDescent="0.25"/>
  <cols>
    <col min="1" max="1" width="45" customWidth="1"/>
    <col min="2" max="3" width="20.7109375" customWidth="1"/>
    <col min="4" max="4" width="20.7109375" style="41" customWidth="1"/>
    <col min="5" max="5" width="57.7109375" customWidth="1"/>
    <col min="6" max="10" width="8.7109375" hidden="1" customWidth="1"/>
    <col min="11" max="16383" width="8.7109375" hidden="1"/>
    <col min="16384" max="16384" width="6.28515625" hidden="1" customWidth="1"/>
  </cols>
  <sheetData>
    <row r="1" spans="1:8" s="221" customFormat="1" ht="21.75" customHeight="1" x14ac:dyDescent="0.25">
      <c r="A1" s="229" t="str">
        <f>Dashboard!$B$4&amp;" "&amp;Dashboard!$B$5</f>
        <v>Mitsui&amp;Co. 8031.T</v>
      </c>
      <c r="B1" s="218"/>
      <c r="C1" s="218"/>
      <c r="D1" s="218"/>
      <c r="E1" s="218"/>
    </row>
    <row r="2" spans="1:8" s="221" customFormat="1" ht="21.75" customHeight="1" x14ac:dyDescent="0.25">
      <c r="A2" s="230" t="s">
        <v>153</v>
      </c>
      <c r="B2" s="219"/>
      <c r="C2" s="219"/>
      <c r="D2" s="219"/>
      <c r="E2" s="219"/>
    </row>
    <row r="3" spans="1:8" s="221" customFormat="1" x14ac:dyDescent="0.25">
      <c r="D3" s="223"/>
    </row>
    <row r="4" spans="1:8" x14ac:dyDescent="0.25">
      <c r="A4" s="121" t="s">
        <v>112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64"/>
      <c r="B5" s="164"/>
      <c r="C5" s="164"/>
      <c r="D5" s="164"/>
      <c r="E5" s="164"/>
      <c r="F5" s="146"/>
      <c r="G5" s="146"/>
      <c r="H5" s="146"/>
    </row>
    <row r="6" spans="1:8" x14ac:dyDescent="0.25">
      <c r="A6" s="164"/>
      <c r="B6" s="164"/>
      <c r="C6" s="164"/>
      <c r="D6" s="164"/>
      <c r="E6" s="164"/>
      <c r="F6" s="146"/>
      <c r="G6" s="146"/>
      <c r="H6" s="146"/>
    </row>
    <row r="7" spans="1:8" x14ac:dyDescent="0.25">
      <c r="A7" s="173"/>
      <c r="B7" s="173" t="s">
        <v>46</v>
      </c>
      <c r="C7" s="173" t="s">
        <v>8</v>
      </c>
      <c r="D7" s="73"/>
      <c r="E7" s="88"/>
      <c r="F7" s="89"/>
    </row>
    <row r="8" spans="1:8" x14ac:dyDescent="0.25">
      <c r="A8" s="165" t="s">
        <v>95</v>
      </c>
      <c r="B8" s="166"/>
      <c r="C8" s="167"/>
      <c r="D8" s="163"/>
      <c r="E8" s="98"/>
      <c r="F8" s="99"/>
    </row>
    <row r="9" spans="1:8" x14ac:dyDescent="0.25">
      <c r="A9" s="116" t="s">
        <v>60</v>
      </c>
      <c r="B9" s="116" t="s">
        <v>48</v>
      </c>
      <c r="C9" s="169">
        <f>'Results&amp;Guidance'!D6</f>
        <v>5959</v>
      </c>
      <c r="D9" s="163"/>
      <c r="E9" s="101"/>
      <c r="F9" s="100"/>
    </row>
    <row r="10" spans="1:8" x14ac:dyDescent="0.25">
      <c r="A10" s="116" t="s">
        <v>81</v>
      </c>
      <c r="B10" s="116" t="s">
        <v>83</v>
      </c>
      <c r="C10" s="169">
        <f>'Results&amp;Guidance'!D7</f>
        <v>2834188</v>
      </c>
      <c r="D10" s="163"/>
      <c r="E10" s="101"/>
      <c r="F10" s="100"/>
    </row>
    <row r="11" spans="1:8" x14ac:dyDescent="0.25">
      <c r="A11" s="168" t="s">
        <v>91</v>
      </c>
      <c r="B11" s="168" t="s">
        <v>47</v>
      </c>
      <c r="C11" s="169">
        <f>'Results&amp;Guidance'!D8</f>
        <v>16888926.291999999</v>
      </c>
      <c r="D11" s="163"/>
      <c r="E11" s="101"/>
      <c r="F11" s="100"/>
    </row>
    <row r="12" spans="1:8" x14ac:dyDescent="0.25">
      <c r="A12" s="116" t="s">
        <v>98</v>
      </c>
      <c r="B12" s="116" t="s">
        <v>48</v>
      </c>
      <c r="C12" s="169">
        <f>'Results&amp;Guidance'!D9</f>
        <v>115</v>
      </c>
      <c r="D12" s="163"/>
      <c r="E12" s="101"/>
      <c r="F12" s="100"/>
    </row>
    <row r="13" spans="1:8" x14ac:dyDescent="0.25">
      <c r="A13" s="116" t="s">
        <v>76</v>
      </c>
      <c r="B13" s="116" t="s">
        <v>49</v>
      </c>
      <c r="C13" s="170">
        <f>'Results&amp;Guidance'!D10</f>
        <v>1.9298540023493876E-2</v>
      </c>
      <c r="D13" s="163"/>
      <c r="E13" s="101"/>
      <c r="F13" s="100"/>
    </row>
    <row r="14" spans="1:8" x14ac:dyDescent="0.25">
      <c r="A14" s="116" t="s">
        <v>57</v>
      </c>
      <c r="B14" s="116" t="s">
        <v>66</v>
      </c>
      <c r="C14" s="169">
        <f>'Results&amp;Guidance'!D11</f>
        <v>294.25394504528282</v>
      </c>
      <c r="D14" s="163"/>
      <c r="E14" s="101"/>
      <c r="F14" s="100"/>
    </row>
    <row r="15" spans="1:8" x14ac:dyDescent="0.25">
      <c r="A15" s="116" t="s">
        <v>51</v>
      </c>
      <c r="B15" s="116" t="s">
        <v>66</v>
      </c>
      <c r="C15" s="169">
        <f>'Results&amp;Guidance'!D12</f>
        <v>3093.5647176545804</v>
      </c>
      <c r="D15" s="163"/>
      <c r="E15" s="101"/>
      <c r="F15" s="100"/>
    </row>
    <row r="16" spans="1:8" x14ac:dyDescent="0.25">
      <c r="A16" s="116" t="s">
        <v>62</v>
      </c>
      <c r="B16" s="116" t="s">
        <v>64</v>
      </c>
      <c r="C16" s="171">
        <f>'Results&amp;Guidance'!D13</f>
        <v>20.251215320436803</v>
      </c>
      <c r="D16" s="163"/>
      <c r="E16" s="101"/>
      <c r="F16" s="100"/>
    </row>
    <row r="17" spans="1:8" x14ac:dyDescent="0.25">
      <c r="A17" s="116" t="s">
        <v>79</v>
      </c>
      <c r="B17" s="116" t="s">
        <v>64</v>
      </c>
      <c r="C17" s="171">
        <f>'Results&amp;Guidance'!D14</f>
        <v>1.926256776201495</v>
      </c>
      <c r="D17" s="163"/>
      <c r="E17" s="101"/>
      <c r="F17" s="100"/>
    </row>
    <row r="18" spans="1:8" x14ac:dyDescent="0.25">
      <c r="A18" s="73" t="s">
        <v>50</v>
      </c>
      <c r="B18" s="73" t="s">
        <v>47</v>
      </c>
      <c r="C18" s="172">
        <f>'Results&amp;Guidance'!$F$30</f>
        <v>8767744</v>
      </c>
      <c r="D18" s="163"/>
      <c r="E18" s="73"/>
      <c r="F18" s="73"/>
    </row>
    <row r="19" spans="1:8" x14ac:dyDescent="0.25">
      <c r="A19" s="73"/>
      <c r="B19" s="73"/>
      <c r="C19" s="73"/>
      <c r="D19" s="163"/>
      <c r="E19" s="73"/>
      <c r="F19" s="73"/>
    </row>
    <row r="20" spans="1:8" x14ac:dyDescent="0.25">
      <c r="A20" s="165" t="s">
        <v>100</v>
      </c>
      <c r="B20" s="166"/>
      <c r="C20" s="167"/>
      <c r="D20" s="163"/>
      <c r="E20" s="98"/>
      <c r="F20" s="99"/>
    </row>
    <row r="21" spans="1:8" x14ac:dyDescent="0.25">
      <c r="A21" s="174" t="s">
        <v>96</v>
      </c>
      <c r="B21" s="175" t="s">
        <v>47</v>
      </c>
      <c r="C21" s="179">
        <v>920000</v>
      </c>
      <c r="D21" s="163"/>
      <c r="E21" s="98"/>
      <c r="F21" s="100"/>
    </row>
    <row r="22" spans="1:8" x14ac:dyDescent="0.25">
      <c r="A22" s="116" t="s">
        <v>97</v>
      </c>
      <c r="B22" s="116" t="s">
        <v>55</v>
      </c>
      <c r="C22" s="179"/>
      <c r="D22" s="163"/>
      <c r="E22" s="98"/>
      <c r="F22" s="100"/>
    </row>
    <row r="23" spans="1:8" x14ac:dyDescent="0.25">
      <c r="A23" s="168" t="s">
        <v>98</v>
      </c>
      <c r="B23" s="168" t="s">
        <v>73</v>
      </c>
      <c r="C23" s="180">
        <v>140</v>
      </c>
      <c r="D23" s="163"/>
      <c r="E23" s="98"/>
      <c r="F23" s="100"/>
    </row>
    <row r="24" spans="1:8" x14ac:dyDescent="0.25">
      <c r="A24" s="168" t="s">
        <v>130</v>
      </c>
      <c r="B24" s="116" t="s">
        <v>73</v>
      </c>
      <c r="C24" s="177">
        <f>C21*10^3/C10</f>
        <v>324.60796531493321</v>
      </c>
      <c r="D24" s="163"/>
      <c r="E24" s="98"/>
      <c r="F24" s="100"/>
    </row>
    <row r="25" spans="1:8" x14ac:dyDescent="0.25">
      <c r="A25" s="168" t="s">
        <v>131</v>
      </c>
      <c r="B25" s="116" t="s">
        <v>65</v>
      </c>
      <c r="C25" s="178">
        <f>C28/C24</f>
        <v>16.410564647826089</v>
      </c>
      <c r="D25" s="162" t="s">
        <v>133</v>
      </c>
      <c r="E25" s="98"/>
      <c r="F25" s="100"/>
    </row>
    <row r="26" spans="1:8" x14ac:dyDescent="0.25">
      <c r="D26" s="163"/>
    </row>
    <row r="27" spans="1:8" x14ac:dyDescent="0.25">
      <c r="A27" s="72" t="s">
        <v>99</v>
      </c>
      <c r="B27" s="73"/>
      <c r="C27" s="102"/>
      <c r="D27" s="163"/>
      <c r="E27" s="73"/>
      <c r="F27" s="73"/>
      <c r="G27" s="73"/>
      <c r="H27" s="73"/>
    </row>
    <row r="28" spans="1:8" x14ac:dyDescent="0.25">
      <c r="A28" s="174" t="s">
        <v>148</v>
      </c>
      <c r="B28" s="189" t="s">
        <v>73</v>
      </c>
      <c r="C28" s="191">
        <v>5327</v>
      </c>
      <c r="D28" s="162" t="s">
        <v>132</v>
      </c>
      <c r="E28" s="98"/>
      <c r="F28" s="100"/>
      <c r="G28" s="73"/>
      <c r="H28" s="73"/>
    </row>
    <row r="29" spans="1:8" x14ac:dyDescent="0.25">
      <c r="A29" s="116" t="s">
        <v>101</v>
      </c>
      <c r="B29" s="116" t="s">
        <v>65</v>
      </c>
      <c r="C29" s="193">
        <v>14</v>
      </c>
      <c r="D29" s="163"/>
      <c r="E29" s="98"/>
      <c r="F29" s="100"/>
      <c r="G29" s="73"/>
      <c r="H29" s="73"/>
    </row>
    <row r="30" spans="1:8" x14ac:dyDescent="0.25">
      <c r="A30" s="116" t="s">
        <v>102</v>
      </c>
      <c r="B30" s="116" t="s">
        <v>65</v>
      </c>
      <c r="C30" s="192">
        <v>20</v>
      </c>
      <c r="D30" s="163"/>
      <c r="E30" s="98"/>
      <c r="F30" s="100"/>
      <c r="G30" s="73"/>
      <c r="H30" s="73"/>
    </row>
    <row r="31" spans="1:8" x14ac:dyDescent="0.25">
      <c r="A31" s="116" t="s">
        <v>103</v>
      </c>
      <c r="B31" s="116" t="s">
        <v>65</v>
      </c>
      <c r="C31" s="178">
        <f>AVERAGE(C29:C30)</f>
        <v>17</v>
      </c>
      <c r="D31" s="163"/>
      <c r="E31" s="98"/>
      <c r="F31" s="100"/>
      <c r="G31" s="73"/>
      <c r="H31" s="73"/>
    </row>
    <row r="32" spans="1:8" x14ac:dyDescent="0.25">
      <c r="A32" s="87"/>
      <c r="B32" s="87"/>
      <c r="C32" s="95"/>
      <c r="D32" s="163"/>
      <c r="E32" s="98"/>
      <c r="F32" s="100"/>
      <c r="G32" s="73"/>
      <c r="H32" s="73"/>
    </row>
    <row r="33" spans="1:8" x14ac:dyDescent="0.25">
      <c r="A33" s="116" t="s">
        <v>143</v>
      </c>
      <c r="B33" s="116" t="s">
        <v>65</v>
      </c>
      <c r="C33" s="193">
        <v>2</v>
      </c>
      <c r="D33" s="163"/>
      <c r="E33" s="98"/>
      <c r="F33" s="100"/>
      <c r="G33" s="73"/>
      <c r="H33" s="73"/>
    </row>
    <row r="34" spans="1:8" x14ac:dyDescent="0.25">
      <c r="A34" s="116" t="s">
        <v>145</v>
      </c>
      <c r="B34" s="116" t="s">
        <v>65</v>
      </c>
      <c r="C34" s="192">
        <v>2.25</v>
      </c>
      <c r="D34" s="163"/>
      <c r="E34" s="98"/>
      <c r="F34" s="100"/>
      <c r="G34" s="73"/>
      <c r="H34" s="73"/>
    </row>
    <row r="35" spans="1:8" x14ac:dyDescent="0.25">
      <c r="A35" s="116" t="s">
        <v>144</v>
      </c>
      <c r="B35" s="116" t="s">
        <v>65</v>
      </c>
      <c r="C35" s="176">
        <f>AVERAGE(C33:C34)</f>
        <v>2.125</v>
      </c>
      <c r="D35" s="163"/>
      <c r="E35" s="98"/>
      <c r="F35" s="100"/>
      <c r="G35" s="73"/>
      <c r="H35" s="73"/>
    </row>
    <row r="36" spans="1:8" x14ac:dyDescent="0.25">
      <c r="A36" s="87"/>
      <c r="B36" s="87"/>
      <c r="C36" s="95"/>
      <c r="D36" s="163"/>
      <c r="E36" s="91"/>
      <c r="F36" s="92"/>
      <c r="G36" s="73"/>
      <c r="H36" s="73"/>
    </row>
    <row r="37" spans="1:8" x14ac:dyDescent="0.25">
      <c r="A37" s="194" t="s">
        <v>134</v>
      </c>
      <c r="B37" s="188"/>
      <c r="C37" s="195"/>
      <c r="D37" s="163"/>
      <c r="E37" s="91"/>
      <c r="F37" s="92"/>
      <c r="G37" s="73"/>
      <c r="H37" s="73"/>
    </row>
    <row r="38" spans="1:8" x14ac:dyDescent="0.25">
      <c r="A38" s="116" t="s">
        <v>121</v>
      </c>
      <c r="B38" s="116" t="s">
        <v>55</v>
      </c>
      <c r="C38" s="190">
        <v>200000</v>
      </c>
      <c r="D38" s="163"/>
      <c r="E38" s="91"/>
      <c r="F38" s="92"/>
      <c r="G38" s="73"/>
      <c r="H38" s="73"/>
    </row>
    <row r="39" spans="1:8" x14ac:dyDescent="0.25">
      <c r="A39" s="116" t="s">
        <v>122</v>
      </c>
      <c r="B39" s="168" t="s">
        <v>73</v>
      </c>
      <c r="C39" s="196">
        <f>C28</f>
        <v>5327</v>
      </c>
      <c r="D39" s="163"/>
      <c r="E39" s="91"/>
      <c r="F39" s="92"/>
      <c r="G39" s="73"/>
      <c r="H39" s="73"/>
    </row>
    <row r="40" spans="1:8" x14ac:dyDescent="0.25">
      <c r="A40" s="116" t="s">
        <v>123</v>
      </c>
      <c r="B40" s="168" t="s">
        <v>84</v>
      </c>
      <c r="C40" s="196">
        <f>C38*10^3/C39</f>
        <v>37544.584193730057</v>
      </c>
      <c r="D40" s="163"/>
      <c r="E40" s="91"/>
      <c r="F40" s="92"/>
      <c r="G40" s="73"/>
      <c r="H40" s="73"/>
    </row>
    <row r="41" spans="1:8" x14ac:dyDescent="0.25">
      <c r="A41" s="116" t="s">
        <v>124</v>
      </c>
      <c r="B41" s="168" t="s">
        <v>83</v>
      </c>
      <c r="C41" s="196">
        <f>C10-C40</f>
        <v>2796643.4158062697</v>
      </c>
      <c r="D41" s="163"/>
      <c r="E41" s="91"/>
      <c r="F41" s="92"/>
      <c r="G41" s="73"/>
      <c r="H41" s="73"/>
    </row>
    <row r="42" spans="1:8" x14ac:dyDescent="0.25">
      <c r="A42" s="1"/>
      <c r="B42" s="74"/>
      <c r="C42" s="74"/>
      <c r="D42" s="2"/>
    </row>
    <row r="43" spans="1:8" x14ac:dyDescent="0.25">
      <c r="A43" s="146" t="s">
        <v>118</v>
      </c>
      <c r="B43" s="197"/>
      <c r="C43" s="197"/>
      <c r="D43" s="198"/>
      <c r="E43" s="145"/>
    </row>
    <row r="44" spans="1:8" x14ac:dyDescent="0.25">
      <c r="A44" s="116" t="s">
        <v>0</v>
      </c>
      <c r="B44" s="116"/>
      <c r="C44" s="200">
        <v>8.5000000000000006E-2</v>
      </c>
      <c r="D44" s="101"/>
    </row>
    <row r="45" spans="1:8" x14ac:dyDescent="0.25">
      <c r="A45" s="116" t="s">
        <v>1</v>
      </c>
      <c r="B45" s="116"/>
      <c r="C45" s="200">
        <v>0.03</v>
      </c>
      <c r="D45" s="101" t="s">
        <v>2</v>
      </c>
    </row>
    <row r="46" spans="1:8" x14ac:dyDescent="0.25">
      <c r="A46" s="116" t="s">
        <v>3</v>
      </c>
      <c r="B46" s="116"/>
      <c r="C46" s="200">
        <v>7.0000000000000007E-2</v>
      </c>
      <c r="D46" s="101"/>
    </row>
    <row r="47" spans="1:8" x14ac:dyDescent="0.25">
      <c r="A47" s="116" t="s">
        <v>4</v>
      </c>
      <c r="B47" s="116"/>
      <c r="C47" s="200">
        <v>0.05</v>
      </c>
      <c r="D47" s="101"/>
    </row>
    <row r="48" spans="1:8" x14ac:dyDescent="0.25">
      <c r="A48" s="116" t="s">
        <v>5</v>
      </c>
      <c r="B48" s="116"/>
      <c r="C48" s="199">
        <v>0.03</v>
      </c>
      <c r="D48" s="101" t="s">
        <v>6</v>
      </c>
    </row>
    <row r="49" spans="1:5" x14ac:dyDescent="0.25">
      <c r="A49" s="116"/>
      <c r="B49" s="116"/>
      <c r="C49" s="116"/>
      <c r="D49" s="116"/>
    </row>
    <row r="51" spans="1:5" x14ac:dyDescent="0.25">
      <c r="E51" s="242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563EB"/>
  </sheetPr>
  <dimension ref="A1:G19"/>
  <sheetViews>
    <sheetView showGridLines="0" zoomScaleNormal="100" workbookViewId="0">
      <selection activeCell="E14" sqref="E14"/>
    </sheetView>
  </sheetViews>
  <sheetFormatPr defaultColWidth="0" defaultRowHeight="15" x14ac:dyDescent="0.25"/>
  <cols>
    <col min="1" max="1" width="57.28515625" bestFit="1" customWidth="1"/>
    <col min="2" max="6" width="20.7109375" customWidth="1"/>
    <col min="7" max="7" width="0" hidden="1" customWidth="1"/>
    <col min="8" max="16384" width="8.7109375" hidden="1"/>
  </cols>
  <sheetData>
    <row r="1" spans="1:6" ht="21.75" customHeight="1" x14ac:dyDescent="0.25">
      <c r="A1" s="229" t="str">
        <f>Dashboard!$B$4&amp;" "&amp;Dashboard!$B$5</f>
        <v>Mitsui&amp;Co. 8031.T</v>
      </c>
      <c r="B1" s="218"/>
      <c r="C1" s="218"/>
      <c r="D1" s="218"/>
      <c r="E1" s="218"/>
      <c r="F1" s="218"/>
    </row>
    <row r="2" spans="1:6" ht="21.75" customHeight="1" x14ac:dyDescent="0.25">
      <c r="A2" s="230" t="s">
        <v>154</v>
      </c>
      <c r="B2" s="219"/>
      <c r="C2" s="219"/>
      <c r="D2" s="219"/>
      <c r="E2" s="219"/>
      <c r="F2" s="219"/>
    </row>
    <row r="3" spans="1:6" ht="21.75" customHeight="1" x14ac:dyDescent="0.25">
      <c r="A3" s="230"/>
      <c r="B3" s="219"/>
      <c r="C3" s="219"/>
      <c r="D3" s="219"/>
      <c r="E3" s="219"/>
      <c r="F3" s="219"/>
    </row>
    <row r="4" spans="1:6" ht="18" customHeight="1" x14ac:dyDescent="0.25">
      <c r="A4" s="121" t="s">
        <v>86</v>
      </c>
      <c r="B4" s="121"/>
      <c r="C4" s="121"/>
      <c r="D4" s="121"/>
      <c r="E4" s="121"/>
      <c r="F4" s="121"/>
    </row>
    <row r="5" spans="1:6" ht="34.5" customHeight="1" x14ac:dyDescent="0.25">
      <c r="A5" s="156" t="s">
        <v>9</v>
      </c>
      <c r="B5" s="156" t="s">
        <v>10</v>
      </c>
      <c r="C5" s="156" t="s">
        <v>11</v>
      </c>
      <c r="D5" s="156" t="s">
        <v>12</v>
      </c>
      <c r="E5" s="156" t="s">
        <v>13</v>
      </c>
      <c r="F5" s="156" t="s">
        <v>104</v>
      </c>
    </row>
    <row r="6" spans="1:6" ht="15" customHeight="1" x14ac:dyDescent="0.25">
      <c r="A6" s="1" t="s">
        <v>87</v>
      </c>
      <c r="B6" s="201">
        <f>'① Assumptions'!C29</f>
        <v>14</v>
      </c>
      <c r="C6" s="202">
        <f>'① Assumptions'!$C$24</f>
        <v>324.60796531493321</v>
      </c>
      <c r="D6" s="203">
        <f>B6*C6</f>
        <v>4544.5115144090651</v>
      </c>
      <c r="E6" s="202">
        <f>D6-'① Assumptions'!$C$28</f>
        <v>-782.48848559093494</v>
      </c>
      <c r="F6" s="204">
        <f>E6/'① Assumptions'!$C$28</f>
        <v>-0.14689102413946592</v>
      </c>
    </row>
    <row r="7" spans="1:6" ht="15" customHeight="1" x14ac:dyDescent="0.25">
      <c r="A7" s="1" t="s">
        <v>89</v>
      </c>
      <c r="B7" s="201">
        <f>'① Assumptions'!C31</f>
        <v>17</v>
      </c>
      <c r="C7" s="202">
        <f>'① Assumptions'!$C$24</f>
        <v>324.60796531493321</v>
      </c>
      <c r="D7" s="203">
        <f>B7*C7</f>
        <v>5518.335410353865</v>
      </c>
      <c r="E7" s="202">
        <f>D7-'① Assumptions'!$C$28</f>
        <v>191.33541035386497</v>
      </c>
      <c r="F7" s="204">
        <f>E7/'① Assumptions'!$C$28</f>
        <v>3.5918042116362861E-2</v>
      </c>
    </row>
    <row r="8" spans="1:6" ht="15" customHeight="1" x14ac:dyDescent="0.25">
      <c r="A8" s="116" t="s">
        <v>88</v>
      </c>
      <c r="B8" s="205">
        <f>'① Assumptions'!C30</f>
        <v>20</v>
      </c>
      <c r="C8" s="196">
        <f>'① Assumptions'!$C$24</f>
        <v>324.60796531493321</v>
      </c>
      <c r="D8" s="206">
        <f>B8*C8</f>
        <v>6492.159306298664</v>
      </c>
      <c r="E8" s="196">
        <f>D8-'① Assumptions'!$C$28</f>
        <v>1165.159306298664</v>
      </c>
      <c r="F8" s="207">
        <f>E8/'① Assumptions'!$C$28</f>
        <v>0.21872710837219148</v>
      </c>
    </row>
    <row r="9" spans="1:6" ht="15" customHeight="1" x14ac:dyDescent="0.25">
      <c r="A9" s="36" t="s">
        <v>194</v>
      </c>
      <c r="B9" s="151">
        <f>B7</f>
        <v>17</v>
      </c>
      <c r="C9" s="152">
        <f>'① Assumptions'!C21*10^3/'① Assumptions'!C41</f>
        <v>328.96578619936957</v>
      </c>
      <c r="D9" s="153">
        <f>B9*C9</f>
        <v>5592.4183653892824</v>
      </c>
      <c r="E9" s="152">
        <f>D9-'① Assumptions'!$C$28</f>
        <v>265.41836538928237</v>
      </c>
      <c r="F9" s="154">
        <f>E9/'① Assumptions'!$C$28</f>
        <v>4.9825110829600595E-2</v>
      </c>
    </row>
    <row r="11" spans="1:6" ht="18" customHeight="1" x14ac:dyDescent="0.25">
      <c r="A11" s="123" t="s">
        <v>129</v>
      </c>
      <c r="B11" s="123"/>
      <c r="C11" s="123"/>
      <c r="D11" s="123"/>
      <c r="E11" s="123"/>
      <c r="F11" s="123"/>
    </row>
    <row r="12" spans="1:6" ht="34.5" customHeight="1" x14ac:dyDescent="0.25">
      <c r="A12" s="157" t="s">
        <v>9</v>
      </c>
      <c r="B12" s="157" t="s">
        <v>15</v>
      </c>
      <c r="C12" s="157" t="s">
        <v>16</v>
      </c>
      <c r="D12" s="157" t="s">
        <v>12</v>
      </c>
      <c r="E12" s="157" t="s">
        <v>13</v>
      </c>
      <c r="F12" s="157" t="s">
        <v>14</v>
      </c>
    </row>
    <row r="13" spans="1:6" ht="15" customHeight="1" x14ac:dyDescent="0.25">
      <c r="A13" s="1" t="s">
        <v>87</v>
      </c>
      <c r="B13" s="201">
        <f>'① Assumptions'!C33</f>
        <v>2</v>
      </c>
      <c r="C13" s="202">
        <f>'① Assumptions'!$C$15</f>
        <v>3093.5647176545804</v>
      </c>
      <c r="D13" s="203">
        <f>B13*C13</f>
        <v>6187.1294353091607</v>
      </c>
      <c r="E13" s="202">
        <f>D13-'① Assumptions'!$C$28</f>
        <v>860.12943530916073</v>
      </c>
      <c r="F13" s="204">
        <f>E13/'① Assumptions'!$C$28</f>
        <v>0.16146601000735136</v>
      </c>
    </row>
    <row r="14" spans="1:6" ht="15" customHeight="1" x14ac:dyDescent="0.25">
      <c r="A14" s="1" t="s">
        <v>89</v>
      </c>
      <c r="B14" s="201">
        <f>'① Assumptions'!C35</f>
        <v>2.125</v>
      </c>
      <c r="C14" s="202">
        <f>'① Assumptions'!$C$15</f>
        <v>3093.5647176545804</v>
      </c>
      <c r="D14" s="203">
        <f>B14*C14</f>
        <v>6573.8250250159836</v>
      </c>
      <c r="E14" s="196">
        <f>D14-'① Assumptions'!$C$28</f>
        <v>1246.8250250159836</v>
      </c>
      <c r="F14" s="204">
        <f>E14/'① Assumptions'!$C$28</f>
        <v>0.23405763563281087</v>
      </c>
    </row>
    <row r="15" spans="1:6" ht="15" customHeight="1" x14ac:dyDescent="0.25">
      <c r="A15" s="1" t="s">
        <v>88</v>
      </c>
      <c r="B15" s="201">
        <f>'① Assumptions'!C34</f>
        <v>2.25</v>
      </c>
      <c r="C15" s="202">
        <f>'① Assumptions'!$C$15</f>
        <v>3093.5647176545804</v>
      </c>
      <c r="D15" s="203">
        <f>B15*C15</f>
        <v>6960.5206147228055</v>
      </c>
      <c r="E15" s="152">
        <f>D15-'① Assumptions'!$C$28</f>
        <v>1633.5206147228055</v>
      </c>
      <c r="F15" s="204">
        <f>E15/'① Assumptions'!$C$28</f>
        <v>0.30664926125827024</v>
      </c>
    </row>
    <row r="17" spans="1:5" x14ac:dyDescent="0.25">
      <c r="A17" s="160"/>
      <c r="B17" s="41"/>
      <c r="C17" s="41"/>
      <c r="D17" s="41"/>
      <c r="E17" s="41"/>
    </row>
    <row r="18" spans="1:5" x14ac:dyDescent="0.25">
      <c r="A18" s="161"/>
      <c r="B18" s="159"/>
      <c r="C18" s="159"/>
      <c r="D18" s="159"/>
      <c r="E18" s="159"/>
    </row>
    <row r="19" spans="1:5" x14ac:dyDescent="0.25">
      <c r="A19" s="73"/>
      <c r="B19" s="41"/>
      <c r="C19" s="41"/>
      <c r="D19" s="41"/>
      <c r="E19" s="41"/>
    </row>
  </sheetData>
  <phoneticPr fontId="19"/>
  <conditionalFormatting sqref="F6:F9">
    <cfRule type="cellIs" dxfId="5" priority="4" operator="greaterThan">
      <formula>0</formula>
    </cfRule>
    <cfRule type="cellIs" dxfId="4" priority="5" operator="lessThan">
      <formula>0</formula>
    </cfRule>
  </conditionalFormatting>
  <conditionalFormatting sqref="F13:F15">
    <cfRule type="cellIs" dxfId="3" priority="1" operator="greaterThan">
      <formula>0</formula>
    </cfRule>
    <cfRule type="cellIs" dxfId="2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6A34A"/>
  </sheetPr>
  <dimension ref="A1:Q49"/>
  <sheetViews>
    <sheetView showGridLines="0" zoomScaleNormal="100" workbookViewId="0">
      <selection activeCell="B24" sqref="B24"/>
    </sheetView>
  </sheetViews>
  <sheetFormatPr defaultColWidth="0" defaultRowHeight="15" x14ac:dyDescent="0.25"/>
  <cols>
    <col min="1" max="1" width="5.42578125" customWidth="1"/>
    <col min="2" max="2" width="49.140625" customWidth="1"/>
    <col min="3" max="16" width="15.7109375" customWidth="1"/>
    <col min="17" max="17" width="0" hidden="1" customWidth="1"/>
    <col min="18" max="16384" width="8.7109375" hidden="1"/>
  </cols>
  <sheetData>
    <row r="1" spans="1:16" ht="21.75" customHeight="1" x14ac:dyDescent="0.25">
      <c r="A1" s="229" t="str">
        <f>Dashboard!$B$4&amp;" "&amp;Dashboard!$B$5</f>
        <v>Mitsui&amp;Co. 8031.T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.75" customHeight="1" x14ac:dyDescent="0.25">
      <c r="A2" s="230" t="s">
        <v>155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ht="21.75" customHeight="1" x14ac:dyDescent="0.25">
      <c r="A3" s="230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6" x14ac:dyDescent="0.25">
      <c r="A4" s="123" t="s">
        <v>119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1:16" x14ac:dyDescent="0.25">
      <c r="A5" s="29"/>
      <c r="B5" s="115"/>
      <c r="C5" s="115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5">
      <c r="A6" s="29"/>
      <c r="B6" s="158"/>
      <c r="C6" s="86" t="s">
        <v>127</v>
      </c>
      <c r="D6" s="86" t="s">
        <v>128</v>
      </c>
    </row>
    <row r="7" spans="1:16" x14ac:dyDescent="0.25">
      <c r="A7" s="29"/>
      <c r="B7" s="3" t="s">
        <v>17</v>
      </c>
      <c r="C7" s="96">
        <f>D29</f>
        <v>2785.3729399011527</v>
      </c>
      <c r="D7" s="96">
        <f>D46</f>
        <v>2822.7662193811207</v>
      </c>
    </row>
    <row r="8" spans="1:16" x14ac:dyDescent="0.25">
      <c r="A8" s="29"/>
      <c r="B8" s="4" t="s">
        <v>18</v>
      </c>
      <c r="C8" s="97">
        <f>D30</f>
        <v>4200.0906209114382</v>
      </c>
      <c r="D8" s="97">
        <f>D47</f>
        <v>4382.8557388227682</v>
      </c>
    </row>
    <row r="9" spans="1:16" x14ac:dyDescent="0.25">
      <c r="A9" s="29"/>
      <c r="B9" s="113" t="s">
        <v>20</v>
      </c>
      <c r="C9" s="114">
        <f>SUM(C7:C8)</f>
        <v>6985.4635608125909</v>
      </c>
      <c r="D9" s="114">
        <f>SUM(D7:D8)</f>
        <v>7205.6219582038884</v>
      </c>
    </row>
    <row r="10" spans="1:16" x14ac:dyDescent="0.25">
      <c r="A10" s="29"/>
      <c r="B10" s="1" t="s">
        <v>19</v>
      </c>
      <c r="C10" s="9">
        <f>C8/C9</f>
        <v>0.60126154611604021</v>
      </c>
      <c r="D10" s="9">
        <f>D8/D9</f>
        <v>0.60825502146039068</v>
      </c>
      <c r="E10" s="73" t="s">
        <v>147</v>
      </c>
    </row>
    <row r="11" spans="1:16" x14ac:dyDescent="0.25">
      <c r="A11" s="29"/>
      <c r="B11" s="3" t="s">
        <v>21</v>
      </c>
      <c r="C11" s="96">
        <f>'① Assumptions'!$C$28</f>
        <v>5327</v>
      </c>
      <c r="D11" s="96">
        <f>'① Assumptions'!$C$28</f>
        <v>5327</v>
      </c>
    </row>
    <row r="12" spans="1:16" x14ac:dyDescent="0.25">
      <c r="A12" s="29"/>
      <c r="B12" s="4" t="s">
        <v>22</v>
      </c>
      <c r="C12" s="97">
        <f>C9-C11</f>
        <v>1658.4635608125909</v>
      </c>
      <c r="D12" s="97">
        <f>D9-D11</f>
        <v>1878.6219582038884</v>
      </c>
    </row>
    <row r="13" spans="1:16" x14ac:dyDescent="0.25">
      <c r="A13" s="29"/>
      <c r="B13" s="3" t="s">
        <v>23</v>
      </c>
      <c r="C13" s="5">
        <f>(C9-C11)/C11</f>
        <v>0.31133162395580832</v>
      </c>
      <c r="D13" s="5">
        <f>(D9-D11)/D11</f>
        <v>0.35266040138987959</v>
      </c>
    </row>
    <row r="14" spans="1:16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5">
      <c r="A15" s="121" t="s">
        <v>120</v>
      </c>
      <c r="B15" s="119"/>
      <c r="C15" s="118"/>
      <c r="D15" s="118"/>
      <c r="E15" s="124"/>
      <c r="F15" s="118"/>
      <c r="G15" s="120"/>
      <c r="H15" s="120"/>
      <c r="I15" s="120"/>
      <c r="J15" s="120"/>
      <c r="K15" s="120"/>
      <c r="L15" s="120"/>
      <c r="M15" s="120"/>
      <c r="N15" s="120"/>
      <c r="O15" s="120"/>
      <c r="P15" s="120"/>
    </row>
    <row r="16" spans="1:16" x14ac:dyDescent="0.25">
      <c r="A16" s="29"/>
      <c r="C16" s="29"/>
      <c r="D16" s="29"/>
      <c r="E16" s="29"/>
      <c r="F16" s="29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7" x14ac:dyDescent="0.25">
      <c r="A17" s="29">
        <v>1</v>
      </c>
      <c r="B17" s="155" t="s">
        <v>125</v>
      </c>
      <c r="C17" s="29"/>
      <c r="D17" s="29"/>
      <c r="E17" s="29"/>
      <c r="F17" s="29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7" x14ac:dyDescent="0.25">
      <c r="A18" s="73"/>
      <c r="B18" s="125"/>
      <c r="C18" s="104"/>
      <c r="D18" s="104"/>
      <c r="E18" s="106" t="s">
        <v>59</v>
      </c>
      <c r="F18" s="104">
        <v>1</v>
      </c>
      <c r="G18" s="104">
        <f t="shared" ref="G18:O18" si="0">F18+1</f>
        <v>2</v>
      </c>
      <c r="H18" s="104">
        <f t="shared" si="0"/>
        <v>3</v>
      </c>
      <c r="I18" s="104">
        <f t="shared" si="0"/>
        <v>4</v>
      </c>
      <c r="J18" s="104">
        <f t="shared" si="0"/>
        <v>5</v>
      </c>
      <c r="K18" s="104">
        <f t="shared" si="0"/>
        <v>6</v>
      </c>
      <c r="L18" s="104">
        <f t="shared" si="0"/>
        <v>7</v>
      </c>
      <c r="M18" s="104">
        <f t="shared" si="0"/>
        <v>8</v>
      </c>
      <c r="N18" s="104">
        <f t="shared" si="0"/>
        <v>9</v>
      </c>
      <c r="O18" s="126">
        <f t="shared" si="0"/>
        <v>10</v>
      </c>
      <c r="P18" s="73"/>
    </row>
    <row r="19" spans="1:17" x14ac:dyDescent="0.25">
      <c r="A19" s="73"/>
      <c r="B19" s="127"/>
      <c r="C19" s="102"/>
      <c r="D19" s="102" t="s">
        <v>117</v>
      </c>
      <c r="E19" s="107">
        <v>2025</v>
      </c>
      <c r="F19" s="103">
        <f>E19+1</f>
        <v>2026</v>
      </c>
      <c r="G19" s="103">
        <f t="shared" ref="G19:O19" si="1">F19+1</f>
        <v>2027</v>
      </c>
      <c r="H19" s="103">
        <f t="shared" si="1"/>
        <v>2028</v>
      </c>
      <c r="I19" s="103">
        <f t="shared" si="1"/>
        <v>2029</v>
      </c>
      <c r="J19" s="103">
        <f t="shared" si="1"/>
        <v>2030</v>
      </c>
      <c r="K19" s="103">
        <f t="shared" si="1"/>
        <v>2031</v>
      </c>
      <c r="L19" s="103">
        <f t="shared" si="1"/>
        <v>2032</v>
      </c>
      <c r="M19" s="103">
        <f t="shared" si="1"/>
        <v>2033</v>
      </c>
      <c r="N19" s="103">
        <f t="shared" si="1"/>
        <v>2034</v>
      </c>
      <c r="O19" s="128">
        <f t="shared" si="1"/>
        <v>2035</v>
      </c>
      <c r="P19" s="73"/>
    </row>
    <row r="20" spans="1:17" x14ac:dyDescent="0.25">
      <c r="A20" s="73"/>
      <c r="B20" s="129" t="s">
        <v>105</v>
      </c>
      <c r="C20" s="130" t="s">
        <v>78</v>
      </c>
      <c r="D20" s="130"/>
      <c r="E20" s="108"/>
      <c r="F20" s="131">
        <f>IF(F$18&gt;=6,'① Assumptions'!$C$48,IF(F$18&gt;=2,'① Assumptions'!$C$47,'① Assumptions'!$C$46))</f>
        <v>7.0000000000000007E-2</v>
      </c>
      <c r="G20" s="131">
        <f>IF(G$18&gt;=6,'① Assumptions'!$C$48,IF(G$18&gt;=2,'① Assumptions'!$C$47,'① Assumptions'!$C$46))</f>
        <v>0.05</v>
      </c>
      <c r="H20" s="131">
        <f>IF(H$18&gt;=6,'① Assumptions'!$C$48,IF(H$18&gt;=2,'① Assumptions'!$C$47,'① Assumptions'!$C$46))</f>
        <v>0.05</v>
      </c>
      <c r="I20" s="131">
        <f>IF(I$18&gt;=6,'① Assumptions'!$C$48,IF(I$18&gt;=2,'① Assumptions'!$C$47,'① Assumptions'!$C$46))</f>
        <v>0.05</v>
      </c>
      <c r="J20" s="131">
        <f>IF(J$18&gt;=6,'① Assumptions'!$C$48,IF(J$18&gt;=2,'① Assumptions'!$C$47,'① Assumptions'!$C$46))</f>
        <v>0.05</v>
      </c>
      <c r="K20" s="131">
        <f>IF(K$18&gt;=6,'① Assumptions'!$C$48,IF(K$18&gt;=2,'① Assumptions'!$C$47,'① Assumptions'!$C$46))</f>
        <v>0.03</v>
      </c>
      <c r="L20" s="131">
        <f>IF(L$18&gt;=6,'① Assumptions'!$C$48,IF(L$18&gt;=2,'① Assumptions'!$C$47,'① Assumptions'!$C$46))</f>
        <v>0.03</v>
      </c>
      <c r="M20" s="131">
        <f>IF(M$18&gt;=6,'① Assumptions'!$C$48,IF(M$18&gt;=2,'① Assumptions'!$C$47,'① Assumptions'!$C$46))</f>
        <v>0.03</v>
      </c>
      <c r="N20" s="131">
        <f>IF(N$18&gt;=6,'① Assumptions'!$C$48,IF(N$18&gt;=2,'① Assumptions'!$C$47,'① Assumptions'!$C$46))</f>
        <v>0.03</v>
      </c>
      <c r="O20" s="132">
        <f>IF(O$18&gt;=6,'① Assumptions'!$C$48,IF(O$18&gt;=2,'① Assumptions'!$C$47,'① Assumptions'!$C$46))</f>
        <v>0.03</v>
      </c>
      <c r="P20" s="73"/>
    </row>
    <row r="21" spans="1:17" x14ac:dyDescent="0.25">
      <c r="A21" s="73"/>
      <c r="B21" s="133" t="s">
        <v>292</v>
      </c>
      <c r="C21" s="87" t="s">
        <v>47</v>
      </c>
      <c r="D21" s="134">
        <f>SUM(F21:O21)</f>
        <v>12411291.800389675</v>
      </c>
      <c r="E21" s="109">
        <f>'Results&amp;Guidance'!F22</f>
        <v>952912</v>
      </c>
      <c r="F21" s="135">
        <f t="shared" ref="F21:K21" si="2">E21*(1+F20)</f>
        <v>1019615.8400000001</v>
      </c>
      <c r="G21" s="135">
        <f t="shared" si="2"/>
        <v>1070596.6320000002</v>
      </c>
      <c r="H21" s="135">
        <f t="shared" si="2"/>
        <v>1124126.4636000004</v>
      </c>
      <c r="I21" s="135">
        <f t="shared" si="2"/>
        <v>1180332.7867800004</v>
      </c>
      <c r="J21" s="135">
        <f t="shared" si="2"/>
        <v>1239349.4261190004</v>
      </c>
      <c r="K21" s="135">
        <f t="shared" si="2"/>
        <v>1276529.9089025704</v>
      </c>
      <c r="L21" s="135">
        <f t="shared" ref="L21:O21" si="3">K21*(1+L20)</f>
        <v>1314825.8061696475</v>
      </c>
      <c r="M21" s="135">
        <f t="shared" si="3"/>
        <v>1354270.5803547369</v>
      </c>
      <c r="N21" s="135">
        <f t="shared" si="3"/>
        <v>1394898.697765379</v>
      </c>
      <c r="O21" s="136">
        <f t="shared" si="3"/>
        <v>1436745.6586983404</v>
      </c>
      <c r="P21" s="73"/>
    </row>
    <row r="22" spans="1:17" x14ac:dyDescent="0.25">
      <c r="A22" s="73"/>
      <c r="B22" s="133" t="s">
        <v>294</v>
      </c>
      <c r="C22" s="87" t="s">
        <v>47</v>
      </c>
      <c r="D22" s="134">
        <f>SUM(F22:O22)</f>
        <v>-71173.186498296069</v>
      </c>
      <c r="E22" s="109">
        <f>'Results&amp;Guidance'!F24</f>
        <v>-1033522</v>
      </c>
      <c r="F22" s="135">
        <v>-6500</v>
      </c>
      <c r="G22" s="135">
        <f>F22*(1+2%)</f>
        <v>-6630</v>
      </c>
      <c r="H22" s="135">
        <f t="shared" ref="H22:O22" si="4">G22*(1+2%)</f>
        <v>-6762.6</v>
      </c>
      <c r="I22" s="135">
        <f t="shared" si="4"/>
        <v>-6897.8520000000008</v>
      </c>
      <c r="J22" s="135">
        <f t="shared" si="4"/>
        <v>-7035.809040000001</v>
      </c>
      <c r="K22" s="135">
        <f t="shared" si="4"/>
        <v>-7176.5252208000011</v>
      </c>
      <c r="L22" s="135">
        <f t="shared" si="4"/>
        <v>-7320.0557252160015</v>
      </c>
      <c r="M22" s="135">
        <f t="shared" si="4"/>
        <v>-7466.456839720322</v>
      </c>
      <c r="N22" s="135">
        <f t="shared" si="4"/>
        <v>-7615.7859765147286</v>
      </c>
      <c r="O22" s="264">
        <f t="shared" si="4"/>
        <v>-7768.1016960450233</v>
      </c>
      <c r="P22" s="73"/>
    </row>
    <row r="23" spans="1:17" x14ac:dyDescent="0.25">
      <c r="A23" s="244"/>
      <c r="B23" s="254" t="s">
        <v>293</v>
      </c>
      <c r="C23" s="255" t="s">
        <v>47</v>
      </c>
      <c r="D23" s="256">
        <f>SUM(F23:O23)</f>
        <v>12340118.61389138</v>
      </c>
      <c r="E23" s="257">
        <f>SUM(E21:E22)</f>
        <v>-80610</v>
      </c>
      <c r="F23" s="258">
        <f t="shared" ref="F23:O23" si="5">SUM(F21:F22)</f>
        <v>1013115.8400000001</v>
      </c>
      <c r="G23" s="258">
        <f>SUM(G21:G22)</f>
        <v>1063966.6320000002</v>
      </c>
      <c r="H23" s="258">
        <f t="shared" si="5"/>
        <v>1117363.8636000003</v>
      </c>
      <c r="I23" s="258">
        <f t="shared" si="5"/>
        <v>1173434.9347800005</v>
      </c>
      <c r="J23" s="258">
        <f t="shared" si="5"/>
        <v>1232313.6170790005</v>
      </c>
      <c r="K23" s="258">
        <f t="shared" si="5"/>
        <v>1269353.3836817704</v>
      </c>
      <c r="L23" s="258">
        <f t="shared" si="5"/>
        <v>1307505.7504444316</v>
      </c>
      <c r="M23" s="258">
        <f t="shared" si="5"/>
        <v>1346804.1235150166</v>
      </c>
      <c r="N23" s="258">
        <f t="shared" si="5"/>
        <v>1387282.9117888643</v>
      </c>
      <c r="O23" s="259">
        <f t="shared" si="5"/>
        <v>1428977.5570022953</v>
      </c>
      <c r="P23" s="244"/>
      <c r="Q23" s="243"/>
    </row>
    <row r="24" spans="1:17" ht="15.75" thickBot="1" x14ac:dyDescent="0.3">
      <c r="A24" s="73"/>
      <c r="B24" s="133" t="s">
        <v>111</v>
      </c>
      <c r="C24" s="87" t="s">
        <v>47</v>
      </c>
      <c r="D24" s="134">
        <f>SUM(F24:O24)</f>
        <v>26906327.790168919</v>
      </c>
      <c r="E24" s="109"/>
      <c r="F24" s="135"/>
      <c r="G24" s="135"/>
      <c r="H24" s="135"/>
      <c r="I24" s="135"/>
      <c r="J24" s="135"/>
      <c r="K24" s="135"/>
      <c r="L24" s="135"/>
      <c r="M24" s="135"/>
      <c r="N24" s="135"/>
      <c r="O24" s="136">
        <f>(O21*(1+'① Assumptions'!$C$45))/('① Assumptions'!C44-'① Assumptions'!C45)</f>
        <v>26906327.790168919</v>
      </c>
      <c r="P24" s="73"/>
    </row>
    <row r="25" spans="1:17" x14ac:dyDescent="0.25">
      <c r="A25" s="73"/>
      <c r="B25" s="129" t="s">
        <v>82</v>
      </c>
      <c r="C25" s="130" t="s">
        <v>106</v>
      </c>
      <c r="D25" s="130"/>
      <c r="E25" s="109">
        <f>'Results&amp;Guidance'!$D$7</f>
        <v>2834188</v>
      </c>
      <c r="F25" s="137">
        <f>'Results&amp;Guidance'!$D$7</f>
        <v>2834188</v>
      </c>
      <c r="G25" s="137">
        <f>'Results&amp;Guidance'!$D$7</f>
        <v>2834188</v>
      </c>
      <c r="H25" s="137">
        <f>'Results&amp;Guidance'!$D$7</f>
        <v>2834188</v>
      </c>
      <c r="I25" s="137">
        <f>'Results&amp;Guidance'!$D$7</f>
        <v>2834188</v>
      </c>
      <c r="J25" s="137">
        <f>'Results&amp;Guidance'!$D$7</f>
        <v>2834188</v>
      </c>
      <c r="K25" s="137">
        <f>'Results&amp;Guidance'!$D$7</f>
        <v>2834188</v>
      </c>
      <c r="L25" s="137">
        <f>'Results&amp;Guidance'!$D$7</f>
        <v>2834188</v>
      </c>
      <c r="M25" s="137">
        <f>'Results&amp;Guidance'!$D$7</f>
        <v>2834188</v>
      </c>
      <c r="N25" s="137">
        <f>'Results&amp;Guidance'!$D$7</f>
        <v>2834188</v>
      </c>
      <c r="O25" s="260">
        <f>'Results&amp;Guidance'!$D$7</f>
        <v>2834188</v>
      </c>
      <c r="P25" s="73"/>
    </row>
    <row r="26" spans="1:17" ht="15.75" thickBot="1" x14ac:dyDescent="0.3">
      <c r="A26" s="73"/>
      <c r="B26" s="133" t="s">
        <v>107</v>
      </c>
      <c r="C26" s="87" t="s">
        <v>73</v>
      </c>
      <c r="D26" s="87"/>
      <c r="E26" s="109">
        <f>E21*10^3/E25</f>
        <v>336.22046243933005</v>
      </c>
      <c r="F26" s="135">
        <f>F23*10^3/F$25</f>
        <v>357.46246896818423</v>
      </c>
      <c r="G26" s="135">
        <f>G23*10^3/G$25</f>
        <v>375.40439519185043</v>
      </c>
      <c r="H26" s="135">
        <f t="shared" ref="H26:O26" si="6">H23*10^3/H$25</f>
        <v>394.24479378220514</v>
      </c>
      <c r="I26" s="135">
        <f t="shared" si="6"/>
        <v>414.02861587869273</v>
      </c>
      <c r="J26" s="135">
        <f t="shared" si="6"/>
        <v>434.80306072815227</v>
      </c>
      <c r="K26" s="135">
        <f t="shared" si="6"/>
        <v>447.87197732887529</v>
      </c>
      <c r="L26" s="135">
        <f t="shared" si="6"/>
        <v>461.33345792319761</v>
      </c>
      <c r="M26" s="135">
        <f t="shared" si="6"/>
        <v>475.19928936083863</v>
      </c>
      <c r="N26" s="135">
        <f t="shared" si="6"/>
        <v>489.48161229560793</v>
      </c>
      <c r="O26" s="261">
        <f t="shared" si="6"/>
        <v>504.19293180349899</v>
      </c>
      <c r="P26" s="73"/>
    </row>
    <row r="27" spans="1:17" x14ac:dyDescent="0.25">
      <c r="A27" s="73"/>
      <c r="B27" s="133" t="s">
        <v>113</v>
      </c>
      <c r="C27" s="87" t="s">
        <v>73</v>
      </c>
      <c r="D27" s="87"/>
      <c r="E27" s="109"/>
      <c r="F27" s="135">
        <f>F24*(1+2%)*10^3/F$25</f>
        <v>0</v>
      </c>
      <c r="G27" s="135">
        <f t="shared" ref="G27:N27" si="7">G24*(1+2%)*10^3/G$25</f>
        <v>0</v>
      </c>
      <c r="H27" s="135">
        <f t="shared" si="7"/>
        <v>0</v>
      </c>
      <c r="I27" s="135">
        <f t="shared" si="7"/>
        <v>0</v>
      </c>
      <c r="J27" s="135">
        <f t="shared" si="7"/>
        <v>0</v>
      </c>
      <c r="K27" s="135">
        <f t="shared" si="7"/>
        <v>0</v>
      </c>
      <c r="L27" s="135">
        <f t="shared" si="7"/>
        <v>0</v>
      </c>
      <c r="M27" s="135">
        <f t="shared" si="7"/>
        <v>0</v>
      </c>
      <c r="N27" s="135">
        <f t="shared" si="7"/>
        <v>0</v>
      </c>
      <c r="O27" s="136">
        <f>O24*(1+'① Assumptions'!$C$45%)*10^3/O$25</f>
        <v>9496.335348433473</v>
      </c>
      <c r="P27" s="73"/>
    </row>
    <row r="28" spans="1:17" x14ac:dyDescent="0.25">
      <c r="A28" s="73"/>
      <c r="B28" s="129" t="s">
        <v>108</v>
      </c>
      <c r="C28" s="130" t="s">
        <v>110</v>
      </c>
      <c r="D28" s="130"/>
      <c r="E28" s="110">
        <v>1</v>
      </c>
      <c r="F28" s="139">
        <f>E28/(1+'① Assumptions'!$C$44)</f>
        <v>0.92165898617511521</v>
      </c>
      <c r="G28" s="139">
        <f>F28/(1+'① Assumptions'!$C$44)</f>
        <v>0.84945528679734128</v>
      </c>
      <c r="H28" s="139">
        <f>G28/(1+'① Assumptions'!$C$44)</f>
        <v>0.78290809843072928</v>
      </c>
      <c r="I28" s="139">
        <f>H28/(1+'① Assumptions'!$C$44)</f>
        <v>0.72157428426795323</v>
      </c>
      <c r="J28" s="139">
        <f>I28/(1+'① Assumptions'!$C$44)</f>
        <v>0.66504542328843619</v>
      </c>
      <c r="K28" s="139">
        <f>J28/(1+'① Assumptions'!$C$44)</f>
        <v>0.6129450905884205</v>
      </c>
      <c r="L28" s="139">
        <f>K28/(1+'① Assumptions'!$C$44)</f>
        <v>0.56492635077273778</v>
      </c>
      <c r="M28" s="139">
        <f>L28/(1+'① Assumptions'!$C$44)</f>
        <v>0.52066944771680901</v>
      </c>
      <c r="N28" s="139">
        <f>M28/(1+'① Assumptions'!$C$44)</f>
        <v>0.47987967531503134</v>
      </c>
      <c r="O28" s="140">
        <f>N28/(1+'① Assumptions'!$C$44)</f>
        <v>0.44228541503689528</v>
      </c>
      <c r="P28" s="73"/>
    </row>
    <row r="29" spans="1:17" x14ac:dyDescent="0.25">
      <c r="A29" s="73"/>
      <c r="B29" s="133" t="s">
        <v>114</v>
      </c>
      <c r="C29" s="87" t="s">
        <v>48</v>
      </c>
      <c r="D29" s="134">
        <f>SUM(F29:O29)</f>
        <v>2785.3729399011527</v>
      </c>
      <c r="E29" s="108"/>
      <c r="F29" s="135">
        <f>F$28*F26</f>
        <v>329.45849674487027</v>
      </c>
      <c r="G29" s="135">
        <f>G$28*G26</f>
        <v>318.88924818267577</v>
      </c>
      <c r="H29" s="135">
        <f>H$28*H26</f>
        <v>308.6574418162412</v>
      </c>
      <c r="I29" s="135">
        <f>I$28*I26</f>
        <v>298.75240216911902</v>
      </c>
      <c r="J29" s="135">
        <f t="shared" ref="J29:O29" si="8">J$28*J26</f>
        <v>289.16378556906164</v>
      </c>
      <c r="K29" s="135">
        <f t="shared" si="8"/>
        <v>274.52092971586245</v>
      </c>
      <c r="L29" s="135">
        <f t="shared" si="8"/>
        <v>260.61942687392042</v>
      </c>
      <c r="M29" s="135">
        <f t="shared" si="8"/>
        <v>247.42175154692796</v>
      </c>
      <c r="N29" s="135">
        <f t="shared" si="8"/>
        <v>234.89227718109439</v>
      </c>
      <c r="O29" s="136">
        <f t="shared" si="8"/>
        <v>222.9971801013796</v>
      </c>
      <c r="P29" s="73"/>
    </row>
    <row r="30" spans="1:17" x14ac:dyDescent="0.25">
      <c r="A30" s="73"/>
      <c r="B30" s="133" t="s">
        <v>115</v>
      </c>
      <c r="C30" s="87" t="s">
        <v>48</v>
      </c>
      <c r="D30" s="134">
        <f>SUM(F30:O30)</f>
        <v>4200.0906209114382</v>
      </c>
      <c r="E30" s="108"/>
      <c r="F30" s="135">
        <f t="shared" ref="F30:O30" si="9">F$28*F27</f>
        <v>0</v>
      </c>
      <c r="G30" s="135">
        <f t="shared" si="9"/>
        <v>0</v>
      </c>
      <c r="H30" s="135">
        <f t="shared" si="9"/>
        <v>0</v>
      </c>
      <c r="I30" s="135">
        <f t="shared" si="9"/>
        <v>0</v>
      </c>
      <c r="J30" s="135">
        <f t="shared" si="9"/>
        <v>0</v>
      </c>
      <c r="K30" s="135">
        <f t="shared" si="9"/>
        <v>0</v>
      </c>
      <c r="L30" s="135">
        <f t="shared" si="9"/>
        <v>0</v>
      </c>
      <c r="M30" s="135">
        <f t="shared" si="9"/>
        <v>0</v>
      </c>
      <c r="N30" s="135">
        <f t="shared" si="9"/>
        <v>0</v>
      </c>
      <c r="O30" s="136">
        <f t="shared" si="9"/>
        <v>4200.0906209114382</v>
      </c>
      <c r="P30" s="73"/>
    </row>
    <row r="31" spans="1:17" ht="15.75" thickBot="1" x14ac:dyDescent="0.3">
      <c r="A31" s="73"/>
      <c r="B31" s="141" t="s">
        <v>116</v>
      </c>
      <c r="C31" s="90" t="s">
        <v>48</v>
      </c>
      <c r="D31" s="93"/>
      <c r="E31" s="111"/>
      <c r="F31" s="94">
        <f t="shared" ref="F31:O31" si="10">SUM(F29:F30)</f>
        <v>329.45849674487027</v>
      </c>
      <c r="G31" s="94">
        <f t="shared" si="10"/>
        <v>318.88924818267577</v>
      </c>
      <c r="H31" s="94">
        <f t="shared" si="10"/>
        <v>308.6574418162412</v>
      </c>
      <c r="I31" s="94">
        <f t="shared" si="10"/>
        <v>298.75240216911902</v>
      </c>
      <c r="J31" s="94">
        <f t="shared" si="10"/>
        <v>289.16378556906164</v>
      </c>
      <c r="K31" s="94">
        <f t="shared" si="10"/>
        <v>274.52092971586245</v>
      </c>
      <c r="L31" s="94">
        <f t="shared" si="10"/>
        <v>260.61942687392042</v>
      </c>
      <c r="M31" s="94">
        <f t="shared" si="10"/>
        <v>247.42175154692796</v>
      </c>
      <c r="N31" s="94">
        <f t="shared" si="10"/>
        <v>234.89227718109439</v>
      </c>
      <c r="O31" s="142">
        <f t="shared" si="10"/>
        <v>4423.0878010128181</v>
      </c>
      <c r="P31" s="73"/>
    </row>
    <row r="32" spans="1:17" ht="15.75" thickBot="1" x14ac:dyDescent="0.3">
      <c r="A32" s="73"/>
      <c r="B32" s="143" t="s">
        <v>109</v>
      </c>
      <c r="C32" s="144" t="s">
        <v>48</v>
      </c>
      <c r="D32" s="112">
        <f>D29+D30</f>
        <v>6985.4635608125909</v>
      </c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73"/>
    </row>
    <row r="33" spans="1:16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1:16" x14ac:dyDescent="0.25">
      <c r="A34">
        <v>2</v>
      </c>
      <c r="B34" s="155" t="s">
        <v>126</v>
      </c>
      <c r="C34" s="29"/>
      <c r="D34" s="29"/>
      <c r="E34" s="29"/>
      <c r="F34" s="29"/>
      <c r="G34" s="73"/>
      <c r="H34" s="73"/>
      <c r="I34" s="73"/>
      <c r="J34" s="73"/>
      <c r="K34" s="73"/>
      <c r="L34" s="73"/>
      <c r="M34" s="73"/>
      <c r="N34" s="73"/>
      <c r="O34" s="73"/>
    </row>
    <row r="35" spans="1:16" ht="23.25" customHeight="1" x14ac:dyDescent="0.25">
      <c r="B35" s="125"/>
      <c r="C35" s="104"/>
      <c r="D35" s="104"/>
      <c r="E35" s="106" t="s">
        <v>59</v>
      </c>
      <c r="F35" s="104">
        <v>1</v>
      </c>
      <c r="G35" s="104">
        <f t="shared" ref="G35:O35" si="11">F35+1</f>
        <v>2</v>
      </c>
      <c r="H35" s="104">
        <f t="shared" si="11"/>
        <v>3</v>
      </c>
      <c r="I35" s="104">
        <f t="shared" si="11"/>
        <v>4</v>
      </c>
      <c r="J35" s="104">
        <f t="shared" si="11"/>
        <v>5</v>
      </c>
      <c r="K35" s="104">
        <f t="shared" si="11"/>
        <v>6</v>
      </c>
      <c r="L35" s="104">
        <f t="shared" si="11"/>
        <v>7</v>
      </c>
      <c r="M35" s="104">
        <f t="shared" si="11"/>
        <v>8</v>
      </c>
      <c r="N35" s="104">
        <f t="shared" si="11"/>
        <v>9</v>
      </c>
      <c r="O35" s="126">
        <f t="shared" si="11"/>
        <v>10</v>
      </c>
    </row>
    <row r="36" spans="1:16" ht="20.100000000000001" customHeight="1" x14ac:dyDescent="0.25">
      <c r="B36" s="127"/>
      <c r="C36" s="102"/>
      <c r="D36" s="102" t="s">
        <v>117</v>
      </c>
      <c r="E36" s="107">
        <v>2025</v>
      </c>
      <c r="F36" s="103">
        <f>E36+1</f>
        <v>2026</v>
      </c>
      <c r="G36" s="103">
        <f t="shared" ref="G36:O36" si="12">F36+1</f>
        <v>2027</v>
      </c>
      <c r="H36" s="103">
        <f t="shared" si="12"/>
        <v>2028</v>
      </c>
      <c r="I36" s="103">
        <f t="shared" si="12"/>
        <v>2029</v>
      </c>
      <c r="J36" s="103">
        <f t="shared" si="12"/>
        <v>2030</v>
      </c>
      <c r="K36" s="103">
        <f t="shared" si="12"/>
        <v>2031</v>
      </c>
      <c r="L36" s="103">
        <f t="shared" si="12"/>
        <v>2032</v>
      </c>
      <c r="M36" s="103">
        <f t="shared" si="12"/>
        <v>2033</v>
      </c>
      <c r="N36" s="103">
        <f t="shared" si="12"/>
        <v>2034</v>
      </c>
      <c r="O36" s="128">
        <f t="shared" si="12"/>
        <v>2035</v>
      </c>
    </row>
    <row r="37" spans="1:16" ht="20.100000000000001" customHeight="1" x14ac:dyDescent="0.25">
      <c r="B37" s="129" t="s">
        <v>105</v>
      </c>
      <c r="C37" s="130" t="s">
        <v>78</v>
      </c>
      <c r="D37" s="130"/>
      <c r="E37" s="108"/>
      <c r="F37" s="131">
        <f>IF(F$18&gt;=6,'① Assumptions'!$C$48,IF(F$18&gt;=2,'① Assumptions'!$C$47,'① Assumptions'!$C$46))</f>
        <v>7.0000000000000007E-2</v>
      </c>
      <c r="G37" s="131">
        <f>IF(G$18&gt;=6,'① Assumptions'!$C$48,IF(G$18&gt;=2,'① Assumptions'!$C$47,'① Assumptions'!$C$46))</f>
        <v>0.05</v>
      </c>
      <c r="H37" s="131">
        <f>IF(H$18&gt;=6,'① Assumptions'!$C$48,IF(H$18&gt;=2,'① Assumptions'!$C$47,'① Assumptions'!$C$46))</f>
        <v>0.05</v>
      </c>
      <c r="I37" s="131">
        <f>IF(I$18&gt;=6,'① Assumptions'!$C$48,IF(I$18&gt;=2,'① Assumptions'!$C$47,'① Assumptions'!$C$46))</f>
        <v>0.05</v>
      </c>
      <c r="J37" s="131">
        <f>IF(J$18&gt;=6,'① Assumptions'!$C$48,IF(J$18&gt;=2,'① Assumptions'!$C$47,'① Assumptions'!$C$46))</f>
        <v>0.05</v>
      </c>
      <c r="K37" s="131">
        <f>IF(K$18&gt;=6,'① Assumptions'!$C$48,IF(K$18&gt;=2,'① Assumptions'!$C$47,'① Assumptions'!$C$46))</f>
        <v>0.03</v>
      </c>
      <c r="L37" s="131">
        <f>IF(L$18&gt;=6,'① Assumptions'!$C$48,IF(L$18&gt;=2,'① Assumptions'!$C$47,'① Assumptions'!$C$46))</f>
        <v>0.03</v>
      </c>
      <c r="M37" s="131">
        <f>IF(M$18&gt;=6,'① Assumptions'!$C$48,IF(M$18&gt;=2,'① Assumptions'!$C$47,'① Assumptions'!$C$46))</f>
        <v>0.03</v>
      </c>
      <c r="N37" s="131">
        <f>IF(N$18&gt;=6,'① Assumptions'!$C$48,IF(N$18&gt;=2,'① Assumptions'!$C$47,'① Assumptions'!$C$46))</f>
        <v>0.03</v>
      </c>
      <c r="O37" s="132">
        <f>IF(O$18&gt;=6,'① Assumptions'!$C$48,IF(O$18&gt;=2,'① Assumptions'!$C$47,'① Assumptions'!$C$46))</f>
        <v>0.03</v>
      </c>
    </row>
    <row r="38" spans="1:16" ht="20.100000000000001" customHeight="1" x14ac:dyDescent="0.25">
      <c r="B38" s="133" t="s">
        <v>292</v>
      </c>
      <c r="C38" s="245" t="s">
        <v>55</v>
      </c>
      <c r="D38" s="246">
        <f>SUM(F38:O38)</f>
        <v>12411291.800389675</v>
      </c>
      <c r="E38" s="247">
        <f>'Results&amp;Guidance'!F22</f>
        <v>952912</v>
      </c>
      <c r="F38" s="248">
        <f t="shared" ref="F38:O38" si="13">E38*(1+F37)</f>
        <v>1019615.8400000001</v>
      </c>
      <c r="G38" s="248">
        <f t="shared" si="13"/>
        <v>1070596.6320000002</v>
      </c>
      <c r="H38" s="248">
        <f t="shared" si="13"/>
        <v>1124126.4636000004</v>
      </c>
      <c r="I38" s="248">
        <f t="shared" si="13"/>
        <v>1180332.7867800004</v>
      </c>
      <c r="J38" s="248">
        <f t="shared" si="13"/>
        <v>1239349.4261190004</v>
      </c>
      <c r="K38" s="248">
        <f t="shared" si="13"/>
        <v>1276529.9089025704</v>
      </c>
      <c r="L38" s="248">
        <f t="shared" si="13"/>
        <v>1314825.8061696475</v>
      </c>
      <c r="M38" s="248">
        <f t="shared" si="13"/>
        <v>1354270.5803547369</v>
      </c>
      <c r="N38" s="248">
        <f t="shared" si="13"/>
        <v>1394898.697765379</v>
      </c>
      <c r="O38" s="249">
        <f t="shared" si="13"/>
        <v>1436745.6586983404</v>
      </c>
    </row>
    <row r="39" spans="1:16" ht="20.100000000000001" customHeight="1" x14ac:dyDescent="0.25">
      <c r="B39" s="133" t="s">
        <v>294</v>
      </c>
      <c r="C39" s="87" t="s">
        <v>47</v>
      </c>
      <c r="D39" s="134">
        <f t="shared" ref="D39" si="14">SUM(F39:O39)</f>
        <v>-71173.186498296069</v>
      </c>
      <c r="E39" s="109">
        <f>'Results&amp;Guidance'!F24</f>
        <v>-1033522</v>
      </c>
      <c r="F39" s="135">
        <f>F22</f>
        <v>-6500</v>
      </c>
      <c r="G39" s="135">
        <f t="shared" ref="G39:O39" si="15">G22</f>
        <v>-6630</v>
      </c>
      <c r="H39" s="135">
        <f t="shared" si="15"/>
        <v>-6762.6</v>
      </c>
      <c r="I39" s="135">
        <f t="shared" si="15"/>
        <v>-6897.8520000000008</v>
      </c>
      <c r="J39" s="135">
        <f t="shared" si="15"/>
        <v>-7035.809040000001</v>
      </c>
      <c r="K39" s="135">
        <f t="shared" si="15"/>
        <v>-7176.5252208000011</v>
      </c>
      <c r="L39" s="135">
        <f t="shared" si="15"/>
        <v>-7320.0557252160015</v>
      </c>
      <c r="M39" s="135">
        <f t="shared" si="15"/>
        <v>-7466.456839720322</v>
      </c>
      <c r="N39" s="135">
        <f t="shared" si="15"/>
        <v>-7615.7859765147286</v>
      </c>
      <c r="O39" s="136">
        <f t="shared" si="15"/>
        <v>-7768.1016960450233</v>
      </c>
    </row>
    <row r="40" spans="1:16" ht="20.100000000000001" customHeight="1" x14ac:dyDescent="0.25">
      <c r="B40" s="254" t="s">
        <v>293</v>
      </c>
      <c r="C40" s="93" t="s">
        <v>47</v>
      </c>
      <c r="D40" s="250">
        <f>SUM(F40:O40)</f>
        <v>12340118.61389138</v>
      </c>
      <c r="E40" s="251">
        <f>SUM(E38:E39)</f>
        <v>-80610</v>
      </c>
      <c r="F40" s="263">
        <f>SUM(F38:F39)</f>
        <v>1013115.8400000001</v>
      </c>
      <c r="G40" s="252">
        <f t="shared" ref="G40:O40" si="16">SUM(G38:G39)</f>
        <v>1063966.6320000002</v>
      </c>
      <c r="H40" s="252">
        <f t="shared" si="16"/>
        <v>1117363.8636000003</v>
      </c>
      <c r="I40" s="252">
        <f t="shared" si="16"/>
        <v>1173434.9347800005</v>
      </c>
      <c r="J40" s="252">
        <f t="shared" si="16"/>
        <v>1232313.6170790005</v>
      </c>
      <c r="K40" s="252">
        <f t="shared" si="16"/>
        <v>1269353.3836817704</v>
      </c>
      <c r="L40" s="252">
        <f t="shared" si="16"/>
        <v>1307505.7504444316</v>
      </c>
      <c r="M40" s="252">
        <f t="shared" si="16"/>
        <v>1346804.1235150166</v>
      </c>
      <c r="N40" s="252">
        <f t="shared" si="16"/>
        <v>1387282.9117888643</v>
      </c>
      <c r="O40" s="253">
        <f t="shared" si="16"/>
        <v>1428977.5570022953</v>
      </c>
    </row>
    <row r="41" spans="1:16" ht="20.100000000000001" customHeight="1" x14ac:dyDescent="0.25">
      <c r="B41" s="133" t="s">
        <v>111</v>
      </c>
      <c r="C41" s="87" t="s">
        <v>47</v>
      </c>
      <c r="D41" s="134">
        <f>SUM(F41:O41)</f>
        <v>26906327.790168919</v>
      </c>
      <c r="E41" s="109"/>
      <c r="F41" s="135"/>
      <c r="G41" s="135"/>
      <c r="H41" s="135"/>
      <c r="I41" s="135"/>
      <c r="J41" s="135"/>
      <c r="K41" s="135"/>
      <c r="L41" s="135"/>
      <c r="M41" s="135"/>
      <c r="N41" s="135"/>
      <c r="O41" s="136">
        <f>(O38*(1+'① Assumptions'!$C$45))/('① Assumptions'!C44-'① Assumptions'!C45)</f>
        <v>26906327.790168919</v>
      </c>
    </row>
    <row r="42" spans="1:16" ht="20.100000000000001" customHeight="1" x14ac:dyDescent="0.25">
      <c r="B42" s="129" t="s">
        <v>82</v>
      </c>
      <c r="C42" s="130" t="s">
        <v>106</v>
      </c>
      <c r="D42" s="130"/>
      <c r="E42" s="109">
        <f>'Results&amp;Guidance'!$D$7</f>
        <v>2834188</v>
      </c>
      <c r="F42" s="137">
        <f>'① Assumptions'!$C$41</f>
        <v>2796643.4158062697</v>
      </c>
      <c r="G42" s="137">
        <f>'① Assumptions'!$C$41</f>
        <v>2796643.4158062697</v>
      </c>
      <c r="H42" s="137">
        <f>'① Assumptions'!$C$41</f>
        <v>2796643.4158062697</v>
      </c>
      <c r="I42" s="137">
        <f>'① Assumptions'!$C$41</f>
        <v>2796643.4158062697</v>
      </c>
      <c r="J42" s="137">
        <f>'① Assumptions'!$C$41</f>
        <v>2796643.4158062697</v>
      </c>
      <c r="K42" s="137">
        <f>'① Assumptions'!$C$41</f>
        <v>2796643.4158062697</v>
      </c>
      <c r="L42" s="137">
        <f>'① Assumptions'!$C$41</f>
        <v>2796643.4158062697</v>
      </c>
      <c r="M42" s="137">
        <f>'① Assumptions'!$C$41</f>
        <v>2796643.4158062697</v>
      </c>
      <c r="N42" s="137">
        <f>'① Assumptions'!$C$41</f>
        <v>2796643.4158062697</v>
      </c>
      <c r="O42" s="138">
        <f>'① Assumptions'!$C$41</f>
        <v>2796643.4158062697</v>
      </c>
    </row>
    <row r="43" spans="1:16" ht="20.100000000000001" customHeight="1" x14ac:dyDescent="0.25">
      <c r="B43" s="133" t="s">
        <v>107</v>
      </c>
      <c r="C43" s="87" t="s">
        <v>73</v>
      </c>
      <c r="D43" s="87"/>
      <c r="E43" s="109">
        <f>E38*10^3/E42</f>
        <v>336.22046243933005</v>
      </c>
      <c r="F43" s="262">
        <f>F40*10^3/F$42</f>
        <v>362.2613574093856</v>
      </c>
      <c r="G43" s="135">
        <f t="shared" ref="G43:O43" si="17">G40*10^3/G$42</f>
        <v>380.44415172366894</v>
      </c>
      <c r="H43" s="135">
        <f t="shared" si="17"/>
        <v>399.53748028254273</v>
      </c>
      <c r="I43" s="135">
        <f t="shared" si="17"/>
        <v>419.58689768881396</v>
      </c>
      <c r="J43" s="135">
        <f t="shared" si="17"/>
        <v>440.6402368332416</v>
      </c>
      <c r="K43" s="135">
        <f t="shared" si="17"/>
        <v>453.88460198663438</v>
      </c>
      <c r="L43" s="135">
        <f t="shared" si="17"/>
        <v>467.52680125559692</v>
      </c>
      <c r="M43" s="135">
        <f t="shared" si="17"/>
        <v>481.57877972681553</v>
      </c>
      <c r="N43" s="135">
        <f t="shared" si="17"/>
        <v>496.05284104084183</v>
      </c>
      <c r="O43" s="136">
        <f t="shared" si="17"/>
        <v>510.96165815273321</v>
      </c>
    </row>
    <row r="44" spans="1:16" ht="20.100000000000001" customHeight="1" x14ac:dyDescent="0.25">
      <c r="B44" s="133" t="s">
        <v>113</v>
      </c>
      <c r="C44" s="87" t="s">
        <v>73</v>
      </c>
      <c r="D44" s="87"/>
      <c r="E44" s="109"/>
      <c r="F44" s="135">
        <f t="shared" ref="F44:N44" si="18">F41*10^3/F$42</f>
        <v>0</v>
      </c>
      <c r="G44" s="135">
        <f t="shared" si="18"/>
        <v>0</v>
      </c>
      <c r="H44" s="135">
        <f t="shared" si="18"/>
        <v>0</v>
      </c>
      <c r="I44" s="135">
        <f t="shared" si="18"/>
        <v>0</v>
      </c>
      <c r="J44" s="135">
        <f t="shared" si="18"/>
        <v>0</v>
      </c>
      <c r="K44" s="135">
        <f t="shared" si="18"/>
        <v>0</v>
      </c>
      <c r="L44" s="135">
        <f t="shared" si="18"/>
        <v>0</v>
      </c>
      <c r="M44" s="135">
        <f t="shared" si="18"/>
        <v>0</v>
      </c>
      <c r="N44" s="135">
        <f t="shared" si="18"/>
        <v>0</v>
      </c>
      <c r="O44" s="136">
        <f>O41*(1+'① Assumptions'!$C$45)*10^3/O$42</f>
        <v>9909.5642537910771</v>
      </c>
    </row>
    <row r="45" spans="1:16" x14ac:dyDescent="0.25">
      <c r="B45" s="129" t="s">
        <v>108</v>
      </c>
      <c r="C45" s="130" t="s">
        <v>110</v>
      </c>
      <c r="D45" s="130"/>
      <c r="E45" s="110">
        <v>1</v>
      </c>
      <c r="F45" s="139">
        <f>E45/(1+'① Assumptions'!$C$44)</f>
        <v>0.92165898617511521</v>
      </c>
      <c r="G45" s="139">
        <f>F45/(1+'① Assumptions'!$C$44)</f>
        <v>0.84945528679734128</v>
      </c>
      <c r="H45" s="139">
        <f>G45/(1+'① Assumptions'!$C$44)</f>
        <v>0.78290809843072928</v>
      </c>
      <c r="I45" s="139">
        <f>H45/(1+'① Assumptions'!$C$44)</f>
        <v>0.72157428426795323</v>
      </c>
      <c r="J45" s="139">
        <f>I45/(1+'① Assumptions'!$C$44)</f>
        <v>0.66504542328843619</v>
      </c>
      <c r="K45" s="139">
        <f>J45/(1+'① Assumptions'!$C$44)</f>
        <v>0.6129450905884205</v>
      </c>
      <c r="L45" s="139">
        <f>K45/(1+'① Assumptions'!$C$44)</f>
        <v>0.56492635077273778</v>
      </c>
      <c r="M45" s="139">
        <f>L45/(1+'① Assumptions'!$C$44)</f>
        <v>0.52066944771680901</v>
      </c>
      <c r="N45" s="139">
        <f>M45/(1+'① Assumptions'!$C$44)</f>
        <v>0.47987967531503134</v>
      </c>
      <c r="O45" s="140">
        <f>N45/(1+'① Assumptions'!$C$44)</f>
        <v>0.44228541503689528</v>
      </c>
    </row>
    <row r="46" spans="1:16" x14ac:dyDescent="0.25">
      <c r="B46" s="133" t="s">
        <v>114</v>
      </c>
      <c r="C46" s="87" t="s">
        <v>48</v>
      </c>
      <c r="D46" s="134">
        <f>SUM(F46:O46)</f>
        <v>2822.7662193811207</v>
      </c>
      <c r="E46" s="108"/>
      <c r="F46" s="135">
        <f t="shared" ref="F46:O46" si="19">F$45*F43</f>
        <v>333.88143540035537</v>
      </c>
      <c r="G46" s="135">
        <f t="shared" si="19"/>
        <v>323.17029601280041</v>
      </c>
      <c r="H46" s="135">
        <f t="shared" si="19"/>
        <v>312.8011289398105</v>
      </c>
      <c r="I46" s="135">
        <f t="shared" si="19"/>
        <v>302.76311538801684</v>
      </c>
      <c r="J46" s="135">
        <f t="shared" si="19"/>
        <v>293.04577282267991</v>
      </c>
      <c r="K46" s="135">
        <f t="shared" si="19"/>
        <v>278.20633848138681</v>
      </c>
      <c r="L46" s="135">
        <f t="shared" si="19"/>
        <v>264.11820972177543</v>
      </c>
      <c r="M46" s="135">
        <f t="shared" si="19"/>
        <v>250.74335727249587</v>
      </c>
      <c r="N46" s="135">
        <f t="shared" si="19"/>
        <v>238.04567629777802</v>
      </c>
      <c r="O46" s="136">
        <f t="shared" si="19"/>
        <v>225.99088904402183</v>
      </c>
    </row>
    <row r="47" spans="1:16" x14ac:dyDescent="0.25">
      <c r="B47" s="133" t="s">
        <v>115</v>
      </c>
      <c r="C47" s="87" t="s">
        <v>48</v>
      </c>
      <c r="D47" s="134">
        <f>SUM(F47:O47)</f>
        <v>4382.8557388227682</v>
      </c>
      <c r="E47" s="108"/>
      <c r="F47" s="135">
        <f t="shared" ref="F47:O47" si="20">F$45*F44</f>
        <v>0</v>
      </c>
      <c r="G47" s="135">
        <f t="shared" si="20"/>
        <v>0</v>
      </c>
      <c r="H47" s="135">
        <f t="shared" si="20"/>
        <v>0</v>
      </c>
      <c r="I47" s="135">
        <f t="shared" si="20"/>
        <v>0</v>
      </c>
      <c r="J47" s="135">
        <f t="shared" si="20"/>
        <v>0</v>
      </c>
      <c r="K47" s="135">
        <f t="shared" si="20"/>
        <v>0</v>
      </c>
      <c r="L47" s="135">
        <f t="shared" si="20"/>
        <v>0</v>
      </c>
      <c r="M47" s="135">
        <f t="shared" si="20"/>
        <v>0</v>
      </c>
      <c r="N47" s="135">
        <f t="shared" si="20"/>
        <v>0</v>
      </c>
      <c r="O47" s="136">
        <f t="shared" si="20"/>
        <v>4382.8557388227682</v>
      </c>
    </row>
    <row r="48" spans="1:16" ht="15.75" thickBot="1" x14ac:dyDescent="0.3">
      <c r="B48" s="141" t="s">
        <v>116</v>
      </c>
      <c r="C48" s="90" t="s">
        <v>48</v>
      </c>
      <c r="D48" s="93"/>
      <c r="E48" s="111"/>
      <c r="F48" s="94">
        <f t="shared" ref="F48:O48" si="21">SUM(F46:F47)</f>
        <v>333.88143540035537</v>
      </c>
      <c r="G48" s="94">
        <f t="shared" si="21"/>
        <v>323.17029601280041</v>
      </c>
      <c r="H48" s="94">
        <f t="shared" si="21"/>
        <v>312.8011289398105</v>
      </c>
      <c r="I48" s="94">
        <f t="shared" si="21"/>
        <v>302.76311538801684</v>
      </c>
      <c r="J48" s="94">
        <f t="shared" si="21"/>
        <v>293.04577282267991</v>
      </c>
      <c r="K48" s="94">
        <f t="shared" si="21"/>
        <v>278.20633848138681</v>
      </c>
      <c r="L48" s="94">
        <f t="shared" si="21"/>
        <v>264.11820972177543</v>
      </c>
      <c r="M48" s="94">
        <f t="shared" si="21"/>
        <v>250.74335727249587</v>
      </c>
      <c r="N48" s="94">
        <f t="shared" si="21"/>
        <v>238.04567629777802</v>
      </c>
      <c r="O48" s="142">
        <f t="shared" si="21"/>
        <v>4608.8466278667902</v>
      </c>
    </row>
    <row r="49" spans="2:15" ht="15.75" thickBot="1" x14ac:dyDescent="0.3">
      <c r="B49" s="143" t="s">
        <v>109</v>
      </c>
      <c r="C49" s="144" t="s">
        <v>48</v>
      </c>
      <c r="D49" s="112">
        <f>D46+D47</f>
        <v>7205.6219582038884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</sheetData>
  <phoneticPr fontId="19"/>
  <conditionalFormatting sqref="C12:D13">
    <cfRule type="cellIs" dxfId="1" priority="4" operator="greaterThan">
      <formula>0</formula>
    </cfRule>
    <cfRule type="cellIs" dxfId="0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065-B396-47FF-82AB-A73A53AD202D}">
  <sheetPr>
    <tabColor theme="1"/>
  </sheetPr>
  <dimension ref="A1"/>
  <sheetViews>
    <sheetView showGridLines="0" workbookViewId="0">
      <selection activeCell="N31" sqref="N31"/>
    </sheetView>
  </sheetViews>
  <sheetFormatPr defaultRowHeight="15" x14ac:dyDescent="0.25"/>
  <sheetData/>
  <phoneticPr fontId="1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3E95-FCE4-4B1E-A70E-EB74EF0EFF5D}">
  <dimension ref="A1:E20"/>
  <sheetViews>
    <sheetView workbookViewId="0">
      <pane xSplit="2" ySplit="1" topLeftCell="C2" activePane="bottomRight" state="frozen"/>
      <selection pane="topRight"/>
      <selection pane="bottomLeft"/>
      <selection pane="bottomRight" activeCell="A21" sqref="A21"/>
    </sheetView>
  </sheetViews>
  <sheetFormatPr defaultRowHeight="13.5" x14ac:dyDescent="0.15"/>
  <cols>
    <col min="1" max="1" width="32" style="224" customWidth="1"/>
    <col min="2" max="2" width="74.28515625" style="224" customWidth="1"/>
    <col min="3" max="5" width="25.140625" style="224" customWidth="1"/>
    <col min="6" max="16384" width="9.140625" style="224"/>
  </cols>
  <sheetData>
    <row r="1" spans="1:5" x14ac:dyDescent="0.15">
      <c r="A1" s="238" t="s">
        <v>195</v>
      </c>
      <c r="B1" s="238" t="s">
        <v>160</v>
      </c>
      <c r="C1" s="238" t="s">
        <v>196</v>
      </c>
      <c r="D1" s="238" t="s">
        <v>197</v>
      </c>
      <c r="E1" s="238" t="s">
        <v>198</v>
      </c>
    </row>
    <row r="2" spans="1:5" x14ac:dyDescent="0.15">
      <c r="A2" s="224" t="s">
        <v>199</v>
      </c>
      <c r="B2" s="224" t="s">
        <v>166</v>
      </c>
      <c r="C2" s="239">
        <v>898204</v>
      </c>
      <c r="D2" s="239">
        <v>977356</v>
      </c>
      <c r="E2" s="239">
        <v>982722</v>
      </c>
    </row>
    <row r="3" spans="1:5" x14ac:dyDescent="0.15">
      <c r="A3" s="224" t="s">
        <v>199</v>
      </c>
      <c r="B3" s="224" t="s">
        <v>200</v>
      </c>
      <c r="C3" s="239">
        <v>2216735</v>
      </c>
      <c r="D3" s="239">
        <v>2224953</v>
      </c>
      <c r="E3" s="239">
        <v>2344476</v>
      </c>
    </row>
    <row r="4" spans="1:5" x14ac:dyDescent="0.15">
      <c r="A4" s="224" t="s">
        <v>199</v>
      </c>
      <c r="B4" s="224" t="s">
        <v>201</v>
      </c>
      <c r="C4" s="239">
        <v>1140122</v>
      </c>
      <c r="D4" s="239">
        <v>939109</v>
      </c>
      <c r="E4" s="239">
        <v>1969812</v>
      </c>
    </row>
    <row r="5" spans="1:5" x14ac:dyDescent="0.15">
      <c r="A5" s="224" t="s">
        <v>199</v>
      </c>
      <c r="B5" s="224" t="s">
        <v>167</v>
      </c>
      <c r="C5" s="239">
        <v>965721</v>
      </c>
      <c r="D5" s="239">
        <v>960459</v>
      </c>
      <c r="E5" s="239">
        <v>1086400</v>
      </c>
    </row>
    <row r="6" spans="1:5" x14ac:dyDescent="0.15">
      <c r="A6" s="224" t="s">
        <v>199</v>
      </c>
      <c r="B6" s="224" t="s">
        <v>202</v>
      </c>
      <c r="C6" s="239">
        <v>368137</v>
      </c>
      <c r="D6" s="239">
        <v>430994</v>
      </c>
      <c r="E6" s="239">
        <v>476972</v>
      </c>
    </row>
    <row r="7" spans="1:5" x14ac:dyDescent="0.15">
      <c r="A7" s="224" t="s">
        <v>199</v>
      </c>
      <c r="B7" s="224" t="s">
        <v>203</v>
      </c>
      <c r="C7" s="239">
        <v>49414</v>
      </c>
      <c r="D7" s="239">
        <v>23417</v>
      </c>
      <c r="E7" s="239">
        <v>33310</v>
      </c>
    </row>
    <row r="8" spans="1:5" x14ac:dyDescent="0.15">
      <c r="A8" s="224" t="s">
        <v>199</v>
      </c>
      <c r="B8" s="224" t="s">
        <v>168</v>
      </c>
      <c r="C8" s="239">
        <v>129815</v>
      </c>
      <c r="D8" s="239">
        <v>130653</v>
      </c>
      <c r="E8" s="239">
        <v>162351</v>
      </c>
    </row>
    <row r="9" spans="1:5" x14ac:dyDescent="0.15">
      <c r="A9" s="224" t="s">
        <v>199</v>
      </c>
      <c r="B9" s="224" t="s">
        <v>169</v>
      </c>
      <c r="C9" s="239">
        <v>5768148</v>
      </c>
      <c r="D9" s="239">
        <v>5686941</v>
      </c>
      <c r="E9" s="239">
        <v>7056043</v>
      </c>
    </row>
    <row r="10" spans="1:5" x14ac:dyDescent="0.15">
      <c r="A10" s="224" t="s">
        <v>204</v>
      </c>
      <c r="B10" s="224" t="s">
        <v>205</v>
      </c>
      <c r="C10" s="239">
        <v>4869969</v>
      </c>
      <c r="D10" s="239">
        <v>4972959</v>
      </c>
      <c r="E10" s="239">
        <v>5560536</v>
      </c>
    </row>
    <row r="11" spans="1:5" x14ac:dyDescent="0.15">
      <c r="A11" s="224" t="s">
        <v>204</v>
      </c>
      <c r="B11" s="224" t="s">
        <v>170</v>
      </c>
      <c r="C11" s="239">
        <v>2319900</v>
      </c>
      <c r="D11" s="239">
        <v>2191116</v>
      </c>
      <c r="E11" s="239">
        <v>2820847</v>
      </c>
    </row>
    <row r="12" spans="1:5" x14ac:dyDescent="0.15">
      <c r="A12" s="224" t="s">
        <v>204</v>
      </c>
      <c r="B12" s="224" t="s">
        <v>200</v>
      </c>
      <c r="C12" s="239">
        <v>286565</v>
      </c>
      <c r="D12" s="239">
        <v>307184</v>
      </c>
      <c r="E12" s="239">
        <v>363579</v>
      </c>
    </row>
    <row r="13" spans="1:5" x14ac:dyDescent="0.15">
      <c r="A13" s="224" t="s">
        <v>204</v>
      </c>
      <c r="B13" s="224" t="s">
        <v>201</v>
      </c>
      <c r="C13" s="239">
        <v>210794</v>
      </c>
      <c r="D13" s="239">
        <v>222638</v>
      </c>
      <c r="E13" s="239">
        <v>275905</v>
      </c>
    </row>
    <row r="14" spans="1:5" x14ac:dyDescent="0.15">
      <c r="A14" s="224" t="s">
        <v>204</v>
      </c>
      <c r="B14" s="224" t="s">
        <v>171</v>
      </c>
      <c r="C14" s="239">
        <v>2401492</v>
      </c>
      <c r="D14" s="239">
        <v>2469558</v>
      </c>
      <c r="E14" s="239">
        <v>3721772</v>
      </c>
    </row>
    <row r="15" spans="1:5" x14ac:dyDescent="0.15">
      <c r="A15" s="224" t="s">
        <v>204</v>
      </c>
      <c r="B15" s="224" t="s">
        <v>172</v>
      </c>
      <c r="C15" s="239">
        <v>282253</v>
      </c>
      <c r="D15" s="239">
        <v>212344</v>
      </c>
      <c r="E15" s="239">
        <v>185351</v>
      </c>
    </row>
    <row r="16" spans="1:5" x14ac:dyDescent="0.15">
      <c r="A16" s="224" t="s">
        <v>204</v>
      </c>
      <c r="B16" s="224" t="s">
        <v>206</v>
      </c>
      <c r="C16" s="239">
        <v>458246</v>
      </c>
      <c r="D16" s="239">
        <v>505448</v>
      </c>
      <c r="E16" s="239">
        <v>578306</v>
      </c>
    </row>
    <row r="17" spans="1:5" x14ac:dyDescent="0.15">
      <c r="A17" s="224" t="s">
        <v>204</v>
      </c>
      <c r="B17" s="224" t="s">
        <v>173</v>
      </c>
      <c r="C17" s="239">
        <v>108095</v>
      </c>
      <c r="D17" s="239">
        <v>94315</v>
      </c>
      <c r="E17" s="239">
        <v>102695</v>
      </c>
    </row>
    <row r="18" spans="1:5" x14ac:dyDescent="0.15">
      <c r="A18" s="224" t="s">
        <v>204</v>
      </c>
      <c r="B18" s="224" t="s">
        <v>174</v>
      </c>
      <c r="C18" s="239">
        <v>194040</v>
      </c>
      <c r="D18" s="239">
        <v>149006</v>
      </c>
      <c r="E18" s="239">
        <v>156494</v>
      </c>
    </row>
    <row r="19" spans="1:5" x14ac:dyDescent="0.15">
      <c r="A19" s="224" t="s">
        <v>204</v>
      </c>
      <c r="B19" s="224" t="s">
        <v>175</v>
      </c>
      <c r="C19" s="239">
        <v>11131354</v>
      </c>
      <c r="D19" s="239">
        <v>11124568</v>
      </c>
      <c r="E19" s="239">
        <v>13765485</v>
      </c>
    </row>
    <row r="20" spans="1:5" x14ac:dyDescent="0.15">
      <c r="A20" s="224" t="s">
        <v>207</v>
      </c>
      <c r="B20" s="224" t="s">
        <v>176</v>
      </c>
      <c r="C20" s="239">
        <v>16899502</v>
      </c>
      <c r="D20" s="239">
        <v>16811509</v>
      </c>
      <c r="E20" s="239">
        <v>20821528</v>
      </c>
    </row>
  </sheetData>
  <phoneticPr fontId="19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9ACC-3657-435E-A99E-DD434B017BA8}">
  <dimension ref="A1:E27"/>
  <sheetViews>
    <sheetView workbookViewId="0">
      <pane xSplit="2" ySplit="1" topLeftCell="C2" activePane="bottomRight" state="frozen"/>
      <selection pane="topRight"/>
      <selection pane="bottomLeft"/>
      <selection pane="bottomRight" activeCell="C18" sqref="C18"/>
    </sheetView>
  </sheetViews>
  <sheetFormatPr defaultRowHeight="13.5" x14ac:dyDescent="0.15"/>
  <cols>
    <col min="1" max="1" width="32" style="224" customWidth="1"/>
    <col min="2" max="2" width="74.28515625" style="224" customWidth="1"/>
    <col min="3" max="5" width="25.140625" style="224" customWidth="1"/>
    <col min="6" max="16384" width="9.140625" style="224"/>
  </cols>
  <sheetData>
    <row r="1" spans="1:5" x14ac:dyDescent="0.15">
      <c r="A1" s="238" t="s">
        <v>195</v>
      </c>
      <c r="B1" s="238" t="s">
        <v>160</v>
      </c>
      <c r="C1" s="238" t="s">
        <v>196</v>
      </c>
      <c r="D1" s="238" t="s">
        <v>197</v>
      </c>
      <c r="E1" s="238" t="s">
        <v>198</v>
      </c>
    </row>
    <row r="2" spans="1:5" x14ac:dyDescent="0.15">
      <c r="A2" s="224" t="s">
        <v>208</v>
      </c>
      <c r="B2" s="224" t="s">
        <v>209</v>
      </c>
      <c r="C2" s="239">
        <v>243959</v>
      </c>
      <c r="D2" s="239">
        <v>163909</v>
      </c>
      <c r="E2" s="239">
        <v>166249</v>
      </c>
    </row>
    <row r="3" spans="1:5" x14ac:dyDescent="0.15">
      <c r="A3" s="224" t="s">
        <v>208</v>
      </c>
      <c r="B3" s="224" t="s">
        <v>210</v>
      </c>
      <c r="C3" s="239">
        <v>723084</v>
      </c>
      <c r="D3" s="239">
        <v>629688</v>
      </c>
      <c r="E3" s="239">
        <v>509475</v>
      </c>
    </row>
    <row r="4" spans="1:5" x14ac:dyDescent="0.15">
      <c r="A4" s="224" t="s">
        <v>208</v>
      </c>
      <c r="B4" s="224" t="s">
        <v>211</v>
      </c>
      <c r="C4" s="239">
        <v>1647029</v>
      </c>
      <c r="D4" s="239">
        <v>1675665</v>
      </c>
      <c r="E4" s="239">
        <v>1878139</v>
      </c>
    </row>
    <row r="5" spans="1:5" x14ac:dyDescent="0.15">
      <c r="A5" s="224" t="s">
        <v>208</v>
      </c>
      <c r="B5" s="224" t="s">
        <v>212</v>
      </c>
      <c r="C5" s="239">
        <v>737492</v>
      </c>
      <c r="D5" s="239">
        <v>653858</v>
      </c>
      <c r="E5" s="239">
        <v>1806687</v>
      </c>
    </row>
    <row r="6" spans="1:5" x14ac:dyDescent="0.15">
      <c r="A6" s="224" t="s">
        <v>208</v>
      </c>
      <c r="B6" s="224" t="s">
        <v>213</v>
      </c>
      <c r="C6" s="239">
        <v>42177</v>
      </c>
      <c r="D6" s="239">
        <v>35551</v>
      </c>
      <c r="E6" s="239">
        <v>66468</v>
      </c>
    </row>
    <row r="7" spans="1:5" x14ac:dyDescent="0.15">
      <c r="A7" s="224" t="s">
        <v>208</v>
      </c>
      <c r="B7" s="224" t="s">
        <v>177</v>
      </c>
      <c r="C7" s="239">
        <v>318809</v>
      </c>
      <c r="D7" s="239">
        <v>367489</v>
      </c>
      <c r="E7" s="239">
        <v>458349</v>
      </c>
    </row>
    <row r="8" spans="1:5" x14ac:dyDescent="0.15">
      <c r="A8" s="224" t="s">
        <v>208</v>
      </c>
      <c r="B8" s="224" t="s">
        <v>214</v>
      </c>
      <c r="C8" s="239">
        <v>123830</v>
      </c>
      <c r="D8" s="239">
        <v>70711</v>
      </c>
      <c r="E8" s="239">
        <v>58284</v>
      </c>
    </row>
    <row r="9" spans="1:5" x14ac:dyDescent="0.15">
      <c r="A9" s="224" t="s">
        <v>208</v>
      </c>
      <c r="B9" s="224" t="s">
        <v>178</v>
      </c>
      <c r="C9" s="239">
        <v>55158</v>
      </c>
      <c r="D9" s="239">
        <v>57314</v>
      </c>
      <c r="E9" s="239">
        <v>66951</v>
      </c>
    </row>
    <row r="10" spans="1:5" x14ac:dyDescent="0.15">
      <c r="A10" s="224" t="s">
        <v>208</v>
      </c>
      <c r="B10" s="224" t="s">
        <v>179</v>
      </c>
      <c r="C10" s="239">
        <v>3891538</v>
      </c>
      <c r="D10" s="239">
        <v>3654185</v>
      </c>
      <c r="E10" s="239">
        <v>5010602</v>
      </c>
    </row>
    <row r="11" spans="1:5" x14ac:dyDescent="0.15">
      <c r="A11" s="224" t="s">
        <v>215</v>
      </c>
      <c r="B11" s="224" t="s">
        <v>216</v>
      </c>
      <c r="C11" s="239">
        <v>3809013</v>
      </c>
      <c r="D11" s="239">
        <v>4047663</v>
      </c>
      <c r="E11" s="239">
        <v>5032042</v>
      </c>
    </row>
    <row r="12" spans="1:5" x14ac:dyDescent="0.15">
      <c r="A12" s="224" t="s">
        <v>215</v>
      </c>
      <c r="B12" s="224" t="s">
        <v>212</v>
      </c>
      <c r="C12" s="239">
        <v>341913</v>
      </c>
      <c r="D12" s="239">
        <v>318744</v>
      </c>
      <c r="E12" s="239">
        <v>416380</v>
      </c>
    </row>
    <row r="13" spans="1:5" x14ac:dyDescent="0.15">
      <c r="A13" s="224" t="s">
        <v>215</v>
      </c>
      <c r="B13" s="224" t="s">
        <v>217</v>
      </c>
      <c r="C13" s="239">
        <v>43936</v>
      </c>
      <c r="D13" s="239">
        <v>41881</v>
      </c>
      <c r="E13" s="239">
        <v>45897</v>
      </c>
    </row>
    <row r="14" spans="1:5" x14ac:dyDescent="0.15">
      <c r="A14" s="224" t="s">
        <v>215</v>
      </c>
      <c r="B14" s="224" t="s">
        <v>214</v>
      </c>
      <c r="C14" s="239">
        <v>261593</v>
      </c>
      <c r="D14" s="239">
        <v>258585</v>
      </c>
      <c r="E14" s="239">
        <v>331937</v>
      </c>
    </row>
    <row r="15" spans="1:5" x14ac:dyDescent="0.15">
      <c r="A15" s="224" t="s">
        <v>215</v>
      </c>
      <c r="B15" s="224" t="s">
        <v>180</v>
      </c>
      <c r="C15" s="239">
        <v>745845</v>
      </c>
      <c r="D15" s="239">
        <v>682798</v>
      </c>
      <c r="E15" s="239">
        <v>908021</v>
      </c>
    </row>
    <row r="16" spans="1:5" x14ac:dyDescent="0.15">
      <c r="A16" s="224" t="s">
        <v>215</v>
      </c>
      <c r="B16" s="224" t="s">
        <v>181</v>
      </c>
      <c r="C16" s="239">
        <v>35721</v>
      </c>
      <c r="D16" s="239">
        <v>45021</v>
      </c>
      <c r="E16" s="239">
        <v>58728</v>
      </c>
    </row>
    <row r="17" spans="1:5" x14ac:dyDescent="0.15">
      <c r="A17" s="224" t="s">
        <v>215</v>
      </c>
      <c r="B17" s="224" t="s">
        <v>182</v>
      </c>
      <c r="C17" s="239">
        <v>5238021</v>
      </c>
      <c r="D17" s="239">
        <v>5394692</v>
      </c>
      <c r="E17" s="239">
        <v>6793005</v>
      </c>
    </row>
    <row r="18" spans="1:5" x14ac:dyDescent="0.15">
      <c r="A18" s="224" t="s">
        <v>218</v>
      </c>
      <c r="B18" s="224" t="s">
        <v>183</v>
      </c>
      <c r="C18" s="239">
        <v>9129559</v>
      </c>
      <c r="D18" s="239">
        <v>9048877</v>
      </c>
      <c r="E18" s="239">
        <v>11803607</v>
      </c>
    </row>
    <row r="19" spans="1:5" x14ac:dyDescent="0.15">
      <c r="A19" s="224" t="s">
        <v>219</v>
      </c>
      <c r="B19" s="224" t="s">
        <v>184</v>
      </c>
      <c r="C19" s="239">
        <v>343062</v>
      </c>
      <c r="D19" s="239">
        <v>343442</v>
      </c>
      <c r="E19" s="239">
        <v>344163</v>
      </c>
    </row>
    <row r="20" spans="1:5" x14ac:dyDescent="0.15">
      <c r="A20" s="224" t="s">
        <v>219</v>
      </c>
      <c r="B20" s="224" t="s">
        <v>185</v>
      </c>
      <c r="C20" s="239">
        <v>391856</v>
      </c>
      <c r="D20" s="239">
        <v>407732</v>
      </c>
      <c r="E20" s="239">
        <v>418459</v>
      </c>
    </row>
    <row r="21" spans="1:5" x14ac:dyDescent="0.15">
      <c r="A21" s="224" t="s">
        <v>219</v>
      </c>
      <c r="B21" s="224" t="s">
        <v>186</v>
      </c>
      <c r="C21" s="239">
        <v>5551736</v>
      </c>
      <c r="D21" s="239">
        <v>5801064</v>
      </c>
      <c r="E21" s="239">
        <v>6140218</v>
      </c>
    </row>
    <row r="22" spans="1:5" x14ac:dyDescent="0.15">
      <c r="A22" s="224" t="s">
        <v>219</v>
      </c>
      <c r="B22" s="224" t="s">
        <v>220</v>
      </c>
      <c r="C22" s="239">
        <v>1323821</v>
      </c>
      <c r="D22" s="239">
        <v>1073611</v>
      </c>
      <c r="E22" s="239">
        <v>1962653</v>
      </c>
    </row>
    <row r="23" spans="1:5" x14ac:dyDescent="0.15">
      <c r="A23" s="224" t="s">
        <v>219</v>
      </c>
      <c r="B23" s="224" t="s">
        <v>187</v>
      </c>
      <c r="C23" s="239">
        <v>-68627</v>
      </c>
      <c r="D23" s="239">
        <v>-79234</v>
      </c>
      <c r="E23" s="239">
        <v>-97749</v>
      </c>
    </row>
    <row r="24" spans="1:5" x14ac:dyDescent="0.15">
      <c r="A24" s="224" t="s">
        <v>219</v>
      </c>
      <c r="B24" s="224" t="s">
        <v>221</v>
      </c>
      <c r="C24" s="239">
        <v>7541848</v>
      </c>
      <c r="D24" s="239">
        <v>7546615</v>
      </c>
      <c r="E24" s="239">
        <v>8767744</v>
      </c>
    </row>
    <row r="25" spans="1:5" x14ac:dyDescent="0.15">
      <c r="A25" s="224" t="s">
        <v>219</v>
      </c>
      <c r="B25" s="224" t="s">
        <v>188</v>
      </c>
      <c r="C25" s="239">
        <v>228095</v>
      </c>
      <c r="D25" s="239">
        <v>216017</v>
      </c>
      <c r="E25" s="239">
        <v>250177</v>
      </c>
    </row>
    <row r="26" spans="1:5" x14ac:dyDescent="0.15">
      <c r="A26" s="224" t="s">
        <v>219</v>
      </c>
      <c r="B26" s="224" t="s">
        <v>189</v>
      </c>
      <c r="C26" s="239">
        <v>7769943</v>
      </c>
      <c r="D26" s="239">
        <v>7762632</v>
      </c>
      <c r="E26" s="239">
        <v>9017921</v>
      </c>
    </row>
    <row r="27" spans="1:5" x14ac:dyDescent="0.15">
      <c r="A27" s="224" t="s">
        <v>222</v>
      </c>
      <c r="B27" s="224" t="s">
        <v>190</v>
      </c>
      <c r="C27" s="239">
        <v>16899502</v>
      </c>
      <c r="D27" s="239">
        <v>16811509</v>
      </c>
      <c r="E27" s="239">
        <v>20821528</v>
      </c>
    </row>
  </sheetData>
  <phoneticPr fontId="19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1C7C-696A-40CB-89D8-E62091BCEFC2}">
  <dimension ref="A1:E20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2" style="224" customWidth="1"/>
    <col min="2" max="2" width="74.28515625" style="224" customWidth="1"/>
    <col min="3" max="5" width="25.140625" style="224" customWidth="1"/>
    <col min="6" max="16384" width="9.140625" style="224"/>
  </cols>
  <sheetData>
    <row r="1" spans="1:5" x14ac:dyDescent="0.15">
      <c r="A1" s="238" t="s">
        <v>195</v>
      </c>
      <c r="B1" s="238" t="s">
        <v>160</v>
      </c>
      <c r="C1" s="238" t="s">
        <v>196</v>
      </c>
      <c r="D1" s="238" t="s">
        <v>197</v>
      </c>
      <c r="E1" s="238" t="s">
        <v>198</v>
      </c>
    </row>
    <row r="2" spans="1:5" x14ac:dyDescent="0.15">
      <c r="A2" s="224" t="s">
        <v>223</v>
      </c>
      <c r="B2" s="224" t="s">
        <v>224</v>
      </c>
      <c r="C2" s="239">
        <v>13324942</v>
      </c>
      <c r="D2" s="239">
        <v>14662620</v>
      </c>
      <c r="E2" s="239">
        <v>13995222</v>
      </c>
    </row>
    <row r="3" spans="1:5" x14ac:dyDescent="0.15">
      <c r="A3" s="224" t="s">
        <v>223</v>
      </c>
      <c r="B3" s="224" t="s">
        <v>225</v>
      </c>
      <c r="C3" s="239">
        <v>-12005227</v>
      </c>
      <c r="D3" s="239">
        <v>-13374254</v>
      </c>
      <c r="E3" s="239">
        <v>-12667069</v>
      </c>
    </row>
    <row r="4" spans="1:5" x14ac:dyDescent="0.15">
      <c r="A4" s="224" t="s">
        <v>223</v>
      </c>
      <c r="B4" s="224" t="s">
        <v>226</v>
      </c>
      <c r="C4" s="239">
        <v>1319715</v>
      </c>
      <c r="D4" s="239">
        <v>1288366</v>
      </c>
      <c r="E4" s="239">
        <v>1328153</v>
      </c>
    </row>
    <row r="5" spans="1:5" x14ac:dyDescent="0.15">
      <c r="A5" s="224" t="s">
        <v>227</v>
      </c>
      <c r="B5" s="224" t="s">
        <v>161</v>
      </c>
      <c r="C5" s="239">
        <v>-794291</v>
      </c>
      <c r="D5" s="239">
        <v>-887712</v>
      </c>
      <c r="E5" s="239">
        <v>-902130</v>
      </c>
    </row>
    <row r="6" spans="1:5" x14ac:dyDescent="0.15">
      <c r="A6" s="224" t="s">
        <v>227</v>
      </c>
      <c r="B6" s="224" t="s">
        <v>228</v>
      </c>
      <c r="C6" s="239">
        <v>198063</v>
      </c>
      <c r="D6" s="239">
        <v>116348</v>
      </c>
      <c r="E6" s="239">
        <v>35308</v>
      </c>
    </row>
    <row r="7" spans="1:5" x14ac:dyDescent="0.15">
      <c r="A7" s="224" t="s">
        <v>227</v>
      </c>
      <c r="B7" s="224" t="s">
        <v>229</v>
      </c>
      <c r="C7" s="239">
        <v>-67035</v>
      </c>
      <c r="D7" s="239">
        <v>-35818</v>
      </c>
      <c r="E7" s="239">
        <v>-5830</v>
      </c>
    </row>
    <row r="8" spans="1:5" x14ac:dyDescent="0.15">
      <c r="A8" s="224" t="s">
        <v>227</v>
      </c>
      <c r="B8" s="224" t="s">
        <v>230</v>
      </c>
      <c r="C8" s="239">
        <v>16166</v>
      </c>
      <c r="D8" s="239">
        <v>57989</v>
      </c>
      <c r="E8" s="239">
        <v>53207</v>
      </c>
    </row>
    <row r="9" spans="1:5" x14ac:dyDescent="0.15">
      <c r="A9" s="224" t="s">
        <v>227</v>
      </c>
      <c r="B9" s="224" t="s">
        <v>231</v>
      </c>
      <c r="C9" s="239">
        <v>31302</v>
      </c>
      <c r="D9" s="239">
        <v>31717</v>
      </c>
      <c r="E9" s="239">
        <v>56027</v>
      </c>
    </row>
    <row r="10" spans="1:5" x14ac:dyDescent="0.15">
      <c r="A10" s="224" t="s">
        <v>227</v>
      </c>
      <c r="B10" s="224" t="s">
        <v>232</v>
      </c>
      <c r="C10" s="239">
        <v>-615795</v>
      </c>
      <c r="D10" s="239">
        <v>-717476</v>
      </c>
      <c r="E10" s="239">
        <v>-763418</v>
      </c>
    </row>
    <row r="11" spans="1:5" x14ac:dyDescent="0.15">
      <c r="A11" s="224" t="s">
        <v>233</v>
      </c>
      <c r="B11" s="224" t="s">
        <v>163</v>
      </c>
      <c r="C11" s="239">
        <v>64302</v>
      </c>
      <c r="D11" s="239">
        <v>92003</v>
      </c>
      <c r="E11" s="239">
        <v>86543</v>
      </c>
    </row>
    <row r="12" spans="1:5" x14ac:dyDescent="0.15">
      <c r="A12" s="224" t="s">
        <v>233</v>
      </c>
      <c r="B12" s="224" t="s">
        <v>234</v>
      </c>
      <c r="C12" s="239">
        <v>210671</v>
      </c>
      <c r="D12" s="239">
        <v>184294</v>
      </c>
      <c r="E12" s="239">
        <v>178678</v>
      </c>
    </row>
    <row r="13" spans="1:5" x14ac:dyDescent="0.15">
      <c r="A13" s="224" t="s">
        <v>233</v>
      </c>
      <c r="B13" s="224" t="s">
        <v>165</v>
      </c>
      <c r="C13" s="239">
        <v>-168064</v>
      </c>
      <c r="D13" s="239">
        <v>-206032</v>
      </c>
      <c r="E13" s="239">
        <v>-190342</v>
      </c>
    </row>
    <row r="14" spans="1:5" x14ac:dyDescent="0.15">
      <c r="A14" s="224" t="s">
        <v>233</v>
      </c>
      <c r="B14" s="224" t="s">
        <v>235</v>
      </c>
      <c r="C14" s="239">
        <v>106909</v>
      </c>
      <c r="D14" s="239">
        <v>70265</v>
      </c>
      <c r="E14" s="239">
        <v>74879</v>
      </c>
    </row>
    <row r="15" spans="1:5" x14ac:dyDescent="0.15">
      <c r="A15" s="224" t="s">
        <v>223</v>
      </c>
      <c r="B15" s="224" t="s">
        <v>236</v>
      </c>
      <c r="C15" s="239">
        <v>491564</v>
      </c>
      <c r="D15" s="239">
        <v>494076</v>
      </c>
      <c r="E15" s="239">
        <v>447442</v>
      </c>
    </row>
    <row r="16" spans="1:5" x14ac:dyDescent="0.15">
      <c r="A16" s="224" t="s">
        <v>223</v>
      </c>
      <c r="B16" s="224" t="s">
        <v>237</v>
      </c>
      <c r="C16" s="239">
        <v>1302393</v>
      </c>
      <c r="D16" s="239">
        <v>1135231</v>
      </c>
      <c r="E16" s="239">
        <v>1087056</v>
      </c>
    </row>
    <row r="17" spans="1:5" x14ac:dyDescent="0.15">
      <c r="A17" s="224" t="s">
        <v>223</v>
      </c>
      <c r="B17" s="224" t="s">
        <v>238</v>
      </c>
      <c r="C17" s="239">
        <v>-221914</v>
      </c>
      <c r="D17" s="239">
        <v>-213675</v>
      </c>
      <c r="E17" s="239">
        <v>-222735</v>
      </c>
    </row>
    <row r="18" spans="1:5" x14ac:dyDescent="0.15">
      <c r="A18" s="224" t="s">
        <v>223</v>
      </c>
      <c r="B18" s="224" t="s">
        <v>239</v>
      </c>
      <c r="C18" s="239">
        <v>1080479</v>
      </c>
      <c r="D18" s="239">
        <v>921556</v>
      </c>
      <c r="E18" s="239">
        <v>864321</v>
      </c>
    </row>
    <row r="19" spans="1:5" x14ac:dyDescent="0.15">
      <c r="A19" s="224" t="s">
        <v>240</v>
      </c>
      <c r="B19" s="224" t="s">
        <v>241</v>
      </c>
      <c r="C19" s="239">
        <v>1063684</v>
      </c>
      <c r="D19" s="239">
        <v>900342</v>
      </c>
      <c r="E19" s="239">
        <v>833971</v>
      </c>
    </row>
    <row r="20" spans="1:5" x14ac:dyDescent="0.15">
      <c r="A20" s="224" t="s">
        <v>240</v>
      </c>
      <c r="B20" s="224" t="s">
        <v>188</v>
      </c>
      <c r="C20" s="239">
        <v>16795</v>
      </c>
      <c r="D20" s="239">
        <v>21214</v>
      </c>
      <c r="E20" s="239">
        <v>30350</v>
      </c>
    </row>
  </sheetData>
  <phoneticPr fontId="1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Dashboard</vt:lpstr>
      <vt:lpstr>Results&amp;Guidance</vt:lpstr>
      <vt:lpstr>① Assumptions</vt:lpstr>
      <vt:lpstr>② Multiples</vt:lpstr>
      <vt:lpstr>③ DCF</vt:lpstr>
      <vt:lpstr>&gt;&gt;Extract from Mitsui Website</vt:lpstr>
      <vt:lpstr>BS_Assets</vt:lpstr>
      <vt:lpstr>BS_Liab_Equity</vt:lpstr>
      <vt:lpstr>PL</vt:lpstr>
      <vt:lpstr>CF</vt:lpstr>
      <vt:lpstr>CurrentPrice</vt:lpstr>
      <vt:lpstr>ForwardPER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2026-05-20T08:00:08Z</dcterms:created>
  <dcterms:modified xsi:type="dcterms:W3CDTF">2026-05-28T08:35:32Z</dcterms:modified>
  <dc:language/>
</cp:coreProperties>
</file>