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5C28B4DB-8D7D-4DBC-86A4-2050789692A5}" xr6:coauthVersionLast="47" xr6:coauthVersionMax="47" xr10:uidLastSave="{00000000-0000-0000-0000-000000000000}"/>
  <bookViews>
    <workbookView xWindow="-120" yWindow="-120" windowWidth="29040" windowHeight="18720" tabRatio="500" xr2:uid="{00000000-000D-0000-FFFF-FFFF00000000}"/>
  </bookViews>
  <sheets>
    <sheet name="Dashboard" sheetId="5" r:id="rId1"/>
    <sheet name="Results&amp;Guidance" sheetId="7" r:id="rId2"/>
    <sheet name="① Assumptions" sheetId="1" r:id="rId3"/>
    <sheet name="② Multiples" sheetId="2" r:id="rId4"/>
    <sheet name="③ DCF" sheetId="3" r:id="rId5"/>
  </sheets>
  <definedNames>
    <definedName name="CurrentPrice">'① Assumptions'!$C$27</definedName>
    <definedName name="ForwardPER">'① Assumptions'!$C$24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6" i="3" l="1"/>
  <c r="O21" i="3"/>
  <c r="C23" i="5"/>
  <c r="C24" i="5"/>
  <c r="C25" i="5"/>
  <c r="B25" i="5"/>
  <c r="C34" i="5"/>
  <c r="B15" i="5"/>
  <c r="B14" i="5"/>
  <c r="C14" i="5" s="1"/>
  <c r="D14" i="5" s="1"/>
  <c r="B24" i="5"/>
  <c r="B23" i="5"/>
  <c r="F19" i="3"/>
  <c r="F8" i="2"/>
  <c r="E8" i="2"/>
  <c r="D8" i="2"/>
  <c r="C40" i="1"/>
  <c r="C39" i="1"/>
  <c r="C30" i="1"/>
  <c r="B6" i="2" s="1"/>
  <c r="B8" i="2" s="1"/>
  <c r="C9" i="1"/>
  <c r="C10" i="1"/>
  <c r="C11" i="1"/>
  <c r="C12" i="1"/>
  <c r="C13" i="1"/>
  <c r="C14" i="1"/>
  <c r="C15" i="1"/>
  <c r="C16" i="1"/>
  <c r="C17" i="1"/>
  <c r="C8" i="1"/>
  <c r="A6" i="5"/>
  <c r="C34" i="1"/>
  <c r="C38" i="1"/>
  <c r="D10" i="3"/>
  <c r="C10" i="3"/>
  <c r="B13" i="2"/>
  <c r="B7" i="2"/>
  <c r="F40" i="3"/>
  <c r="G40" i="3" s="1"/>
  <c r="H40" i="3" s="1"/>
  <c r="I40" i="3" s="1"/>
  <c r="J40" i="3" s="1"/>
  <c r="K40" i="3" s="1"/>
  <c r="L40" i="3" s="1"/>
  <c r="M40" i="3" s="1"/>
  <c r="N40" i="3" s="1"/>
  <c r="O40" i="3" s="1"/>
  <c r="F34" i="3"/>
  <c r="F33" i="3"/>
  <c r="G33" i="3" s="1"/>
  <c r="H33" i="3" s="1"/>
  <c r="I33" i="3" s="1"/>
  <c r="J33" i="3" s="1"/>
  <c r="K33" i="3" s="1"/>
  <c r="L33" i="3" s="1"/>
  <c r="M33" i="3" s="1"/>
  <c r="N33" i="3" s="1"/>
  <c r="O33" i="3" s="1"/>
  <c r="G32" i="3"/>
  <c r="H32" i="3" s="1"/>
  <c r="I32" i="3" s="1"/>
  <c r="J32" i="3" s="1"/>
  <c r="K32" i="3" s="1"/>
  <c r="L32" i="3" s="1"/>
  <c r="M32" i="3" s="1"/>
  <c r="N32" i="3" s="1"/>
  <c r="O32" i="3" s="1"/>
  <c r="F25" i="3"/>
  <c r="G25" i="3" s="1"/>
  <c r="H25" i="3" s="1"/>
  <c r="I25" i="3" s="1"/>
  <c r="J25" i="3" s="1"/>
  <c r="K25" i="3" s="1"/>
  <c r="L25" i="3" s="1"/>
  <c r="M25" i="3" s="1"/>
  <c r="N25" i="3" s="1"/>
  <c r="O25" i="3" s="1"/>
  <c r="G17" i="3"/>
  <c r="H17" i="3" s="1"/>
  <c r="I17" i="3" s="1"/>
  <c r="J17" i="3" s="1"/>
  <c r="K17" i="3" s="1"/>
  <c r="L17" i="3" s="1"/>
  <c r="M17" i="3" s="1"/>
  <c r="N17" i="3" s="1"/>
  <c r="O17" i="3" s="1"/>
  <c r="O19" i="3" s="1"/>
  <c r="F18" i="3"/>
  <c r="G18" i="3" s="1"/>
  <c r="H18" i="3" s="1"/>
  <c r="I18" i="3" s="1"/>
  <c r="J18" i="3" s="1"/>
  <c r="K18" i="3" s="1"/>
  <c r="L18" i="3" s="1"/>
  <c r="M18" i="3" s="1"/>
  <c r="N18" i="3" s="1"/>
  <c r="O18" i="3" s="1"/>
  <c r="B14" i="2"/>
  <c r="B12" i="2"/>
  <c r="B5" i="2"/>
  <c r="D7" i="7"/>
  <c r="L22" i="3" s="1"/>
  <c r="L24" i="3" s="1"/>
  <c r="D9" i="7"/>
  <c r="D6" i="7"/>
  <c r="E37" i="7"/>
  <c r="F37" i="7"/>
  <c r="D8" i="7" s="1"/>
  <c r="D37" i="7"/>
  <c r="F24" i="7"/>
  <c r="E24" i="7"/>
  <c r="E41" i="7"/>
  <c r="E43" i="7" s="1"/>
  <c r="F41" i="7"/>
  <c r="F43" i="7" s="1"/>
  <c r="D14" i="7" s="1"/>
  <c r="D41" i="7"/>
  <c r="D43" i="7" s="1"/>
  <c r="F40" i="7"/>
  <c r="F42" i="7" s="1"/>
  <c r="D13" i="7" s="1"/>
  <c r="E40" i="7"/>
  <c r="E42" i="7" s="1"/>
  <c r="D40" i="7"/>
  <c r="D42" i="7" s="1"/>
  <c r="F39" i="7"/>
  <c r="D10" i="7" s="1"/>
  <c r="E39" i="7"/>
  <c r="D39" i="7"/>
  <c r="E26" i="7"/>
  <c r="F26" i="7"/>
  <c r="E20" i="3" s="1"/>
  <c r="D26" i="7"/>
  <c r="B33" i="5"/>
  <c r="C33" i="5" s="1"/>
  <c r="B32" i="5"/>
  <c r="C32" i="5" s="1"/>
  <c r="B31" i="5"/>
  <c r="C31" i="5" s="1"/>
  <c r="B30" i="5"/>
  <c r="C30" i="5" s="1"/>
  <c r="B18" i="5"/>
  <c r="C18" i="5" s="1"/>
  <c r="D18" i="5" s="1"/>
  <c r="C15" i="5"/>
  <c r="D15" i="5" s="1"/>
  <c r="H19" i="3" l="1"/>
  <c r="D25" i="5"/>
  <c r="D24" i="5"/>
  <c r="D23" i="5"/>
  <c r="C23" i="1"/>
  <c r="C24" i="1" s="1"/>
  <c r="C6" i="5" s="1"/>
  <c r="K22" i="3"/>
  <c r="K24" i="3" s="1"/>
  <c r="K27" i="3" s="1"/>
  <c r="E35" i="3"/>
  <c r="E37" i="3"/>
  <c r="F35" i="3"/>
  <c r="G34" i="3"/>
  <c r="H34" i="3"/>
  <c r="O34" i="3"/>
  <c r="I34" i="3"/>
  <c r="K34" i="3"/>
  <c r="L34" i="3"/>
  <c r="M34" i="3"/>
  <c r="J34" i="3"/>
  <c r="N19" i="3"/>
  <c r="N34" i="3"/>
  <c r="E22" i="3"/>
  <c r="E23" i="3" s="1"/>
  <c r="G22" i="3"/>
  <c r="N22" i="3"/>
  <c r="F22" i="3"/>
  <c r="O22" i="3"/>
  <c r="D12" i="7"/>
  <c r="D11" i="7"/>
  <c r="M22" i="3"/>
  <c r="J22" i="3"/>
  <c r="I22" i="3"/>
  <c r="H22" i="3"/>
  <c r="J19" i="3"/>
  <c r="I19" i="3"/>
  <c r="G19" i="3"/>
  <c r="M19" i="3"/>
  <c r="L19" i="3"/>
  <c r="K19" i="3"/>
  <c r="F20" i="3"/>
  <c r="L27" i="3"/>
  <c r="C12" i="2"/>
  <c r="G24" i="3" l="1"/>
  <c r="G27" i="3" s="1"/>
  <c r="I24" i="3"/>
  <c r="I27" i="3" s="1"/>
  <c r="J24" i="3"/>
  <c r="J27" i="3" s="1"/>
  <c r="F24" i="3"/>
  <c r="F27" i="3" s="1"/>
  <c r="N24" i="3"/>
  <c r="N27" i="3" s="1"/>
  <c r="H24" i="3"/>
  <c r="H27" i="3" s="1"/>
  <c r="M24" i="3"/>
  <c r="M27" i="3" s="1"/>
  <c r="F37" i="3"/>
  <c r="E38" i="3"/>
  <c r="D12" i="2"/>
  <c r="E12" i="2" s="1"/>
  <c r="F12" i="2" s="1"/>
  <c r="G35" i="3"/>
  <c r="C7" i="2"/>
  <c r="D7" i="2" s="1"/>
  <c r="E7" i="2" s="1"/>
  <c r="C14" i="2"/>
  <c r="D14" i="2" s="1"/>
  <c r="E14" i="2" s="1"/>
  <c r="F14" i="2" s="1"/>
  <c r="C13" i="2"/>
  <c r="F23" i="3"/>
  <c r="F26" i="3" s="1"/>
  <c r="G20" i="3"/>
  <c r="G23" i="3" s="1"/>
  <c r="G26" i="3" s="1"/>
  <c r="G28" i="3" l="1"/>
  <c r="F28" i="3"/>
  <c r="G37" i="3"/>
  <c r="G38" i="3" s="1"/>
  <c r="G41" i="3" s="1"/>
  <c r="H37" i="3"/>
  <c r="H39" i="3" s="1"/>
  <c r="H42" i="3" s="1"/>
  <c r="I37" i="3"/>
  <c r="I39" i="3" s="1"/>
  <c r="I42" i="3" s="1"/>
  <c r="J37" i="3"/>
  <c r="J39" i="3" s="1"/>
  <c r="J42" i="3" s="1"/>
  <c r="K37" i="3"/>
  <c r="K39" i="3" s="1"/>
  <c r="K42" i="3" s="1"/>
  <c r="L37" i="3"/>
  <c r="L39" i="3" s="1"/>
  <c r="L42" i="3" s="1"/>
  <c r="O37" i="3"/>
  <c r="C8" i="2"/>
  <c r="M37" i="3"/>
  <c r="M39" i="3" s="1"/>
  <c r="M42" i="3" s="1"/>
  <c r="N37" i="3"/>
  <c r="N39" i="3" s="1"/>
  <c r="N42" i="3" s="1"/>
  <c r="F38" i="3"/>
  <c r="F41" i="3" s="1"/>
  <c r="F39" i="3"/>
  <c r="F42" i="3" s="1"/>
  <c r="D13" i="2"/>
  <c r="E13" i="2" s="1"/>
  <c r="F13" i="2" s="1"/>
  <c r="H35" i="3"/>
  <c r="C5" i="2"/>
  <c r="D5" i="2" s="1"/>
  <c r="C6" i="2"/>
  <c r="D6" i="2" s="1"/>
  <c r="H20" i="3"/>
  <c r="H23" i="3" s="1"/>
  <c r="H26" i="3" s="1"/>
  <c r="F7" i="2"/>
  <c r="G39" i="3" l="1"/>
  <c r="G42" i="3" s="1"/>
  <c r="G43" i="3" s="1"/>
  <c r="H38" i="3"/>
  <c r="H41" i="3" s="1"/>
  <c r="H43" i="3" s="1"/>
  <c r="F43" i="3"/>
  <c r="E5" i="2"/>
  <c r="F5" i="2" s="1"/>
  <c r="I35" i="3"/>
  <c r="E6" i="2"/>
  <c r="F6" i="2" s="1"/>
  <c r="I20" i="3"/>
  <c r="I23" i="3" s="1"/>
  <c r="I26" i="3" s="1"/>
  <c r="I28" i="3" s="1"/>
  <c r="H28" i="3"/>
  <c r="I38" i="3" l="1"/>
  <c r="I41" i="3" s="1"/>
  <c r="J35" i="3"/>
  <c r="J38" i="3" s="1"/>
  <c r="J41" i="3" s="1"/>
  <c r="J20" i="3"/>
  <c r="K20" i="3" s="1"/>
  <c r="K23" i="3" s="1"/>
  <c r="I43" i="3" l="1"/>
  <c r="K35" i="3"/>
  <c r="K38" i="3" s="1"/>
  <c r="K41" i="3" s="1"/>
  <c r="J43" i="3"/>
  <c r="J23" i="3"/>
  <c r="J26" i="3" s="1"/>
  <c r="J28" i="3" s="1"/>
  <c r="K26" i="3"/>
  <c r="K28" i="3" s="1"/>
  <c r="L20" i="3"/>
  <c r="L23" i="3" s="1"/>
  <c r="L35" i="3" l="1"/>
  <c r="L38" i="3" s="1"/>
  <c r="L41" i="3" s="1"/>
  <c r="K43" i="3"/>
  <c r="L26" i="3"/>
  <c r="L28" i="3" s="1"/>
  <c r="M20" i="3"/>
  <c r="M23" i="3" s="1"/>
  <c r="M35" i="3" l="1"/>
  <c r="M38" i="3" s="1"/>
  <c r="M41" i="3" s="1"/>
  <c r="M26" i="3"/>
  <c r="M28" i="3" s="1"/>
  <c r="N20" i="3"/>
  <c r="N23" i="3" s="1"/>
  <c r="N35" i="3" l="1"/>
  <c r="N38" i="3" s="1"/>
  <c r="N41" i="3" s="1"/>
  <c r="M43" i="3"/>
  <c r="L43" i="3"/>
  <c r="N26" i="3"/>
  <c r="N28" i="3" s="1"/>
  <c r="O20" i="3"/>
  <c r="D20" i="3" l="1"/>
  <c r="O24" i="3"/>
  <c r="O35" i="3"/>
  <c r="N43" i="3"/>
  <c r="O23" i="3"/>
  <c r="O26" i="3" s="1"/>
  <c r="D26" i="3" s="1"/>
  <c r="C6" i="3" s="1"/>
  <c r="O38" i="3" l="1"/>
  <c r="O41" i="3" s="1"/>
  <c r="D41" i="3" s="1"/>
  <c r="D35" i="3"/>
  <c r="O27" i="3"/>
  <c r="D21" i="3"/>
  <c r="D36" i="3" l="1"/>
  <c r="O39" i="3"/>
  <c r="O42" i="3" s="1"/>
  <c r="D42" i="3" s="1"/>
  <c r="D7" i="3" s="1"/>
  <c r="D6" i="3"/>
  <c r="O28" i="3"/>
  <c r="D27" i="3"/>
  <c r="C7" i="3" s="1"/>
  <c r="D44" i="3" l="1"/>
  <c r="D8" i="3"/>
  <c r="O43" i="3"/>
  <c r="C8" i="3"/>
  <c r="D29" i="3"/>
  <c r="D9" i="3" l="1"/>
  <c r="B17" i="5"/>
  <c r="C17" i="5" s="1"/>
  <c r="D17" i="5" s="1"/>
  <c r="C12" i="3"/>
  <c r="E6" i="5"/>
  <c r="D11" i="3"/>
  <c r="D12" i="3"/>
  <c r="C11" i="3"/>
  <c r="C9" i="3"/>
  <c r="B16" i="5"/>
  <c r="C16" i="5" s="1"/>
  <c r="D16" i="5" s="1"/>
</calcChain>
</file>

<file path=xl/sharedStrings.xml><?xml version="1.0" encoding="utf-8"?>
<sst xmlns="http://schemas.openxmlformats.org/spreadsheetml/2006/main" count="311" uniqueCount="202">
  <si>
    <t xml:space="preserve">  Market data: 18 May 2026  ·  Financials: FY2026/3 Earnings Release (IFRS) published 1 May 2026</t>
  </si>
  <si>
    <t>minkabu 13 May 2026 · 14 analysts</t>
  </si>
  <si>
    <t>Consensus High  (¥)</t>
  </si>
  <si>
    <t>Most bullish analyst</t>
  </si>
  <si>
    <t>Consensus Low   (¥)</t>
  </si>
  <si>
    <t>Most bearish analyst</t>
  </si>
  <si>
    <t>IFIS Consensus  (¥)</t>
  </si>
  <si>
    <t>kabuyoho 7 May 2026</t>
  </si>
  <si>
    <t>Rating  (14 analysts)</t>
  </si>
  <si>
    <t>Buy / Conditional</t>
  </si>
  <si>
    <t>4 strong buy, 2 buy, 7 neutral, 1 sell</t>
  </si>
  <si>
    <t>WACC</t>
  </si>
  <si>
    <t>Terminal Growth Rate (g)</t>
  </si>
  <si>
    <t>Japan nominal GDP reference; conservative</t>
  </si>
  <si>
    <t>Year-1 FCF Growth  (FY2027, applied)</t>
  </si>
  <si>
    <t>Years 2–5 FCF Growth  (mid-term)</t>
  </si>
  <si>
    <t>LNG Canada ramp + organic; normalising phase</t>
  </si>
  <si>
    <t>Years 6–10 FCF Growth  (long-term)</t>
  </si>
  <si>
    <t>Through-cycle commodity average</t>
  </si>
  <si>
    <t>Metric</t>
  </si>
  <si>
    <t>Value</t>
  </si>
  <si>
    <t>Scenario</t>
  </si>
  <si>
    <t>P/E Applied</t>
  </si>
  <si>
    <t>FY2027 EPS (¥)</t>
  </si>
  <si>
    <t>Implied Price (¥)</t>
  </si>
  <si>
    <t>vs Current ¥5,500</t>
  </si>
  <si>
    <t>Upside / (Downside)</t>
  </si>
  <si>
    <t>P/B Applied</t>
  </si>
  <si>
    <t>BPS  (¥)</t>
  </si>
  <si>
    <t>PV of 10-Year FCFs</t>
  </si>
  <si>
    <t>PV of Terminal Value</t>
  </si>
  <si>
    <t>TV as % of Intrinsic Value</t>
  </si>
  <si>
    <t>★  INTRINSIC VALUE  (DCF)</t>
  </si>
  <si>
    <t>Current Share Price</t>
  </si>
  <si>
    <t>Difference  (Intrinsic−Market)</t>
  </si>
  <si>
    <t>Upside / (Downside)  %</t>
  </si>
  <si>
    <t xml:space="preserve">  Price ¥5,500  ·  18 May 2026  ·  FY2026/3 Earnings Release (1 May 2026)  ·  Japan Stock Alpha</t>
  </si>
  <si>
    <t xml:space="preserve">  Current Price</t>
  </si>
  <si>
    <t xml:space="preserve">  Forward P/E</t>
  </si>
  <si>
    <t xml:space="preserve">  DCF Intrinsic</t>
  </si>
  <si>
    <t xml:space="preserve">  TSE close · 18 May 2026</t>
  </si>
  <si>
    <t xml:space="preserve">  📊  Cheap or Expensive?  — What different valuation methods say</t>
  </si>
  <si>
    <t>Valuation Method</t>
  </si>
  <si>
    <t>Analyst Consensus  (avg 14)</t>
  </si>
  <si>
    <t>FY2026/3 Actual</t>
  </si>
  <si>
    <t>FY2027/3 Guided</t>
  </si>
  <si>
    <t>Change</t>
  </si>
  <si>
    <t xml:space="preserve">  📡  Analyst Ratings  (13 May 2026 · 14 analysts)</t>
  </si>
  <si>
    <t>Analyst / Source</t>
  </si>
  <si>
    <t>Price Target  (¥)</t>
  </si>
  <si>
    <t>Consensus  avg  (14 analysts)</t>
  </si>
  <si>
    <t>IFIS Consensus</t>
  </si>
  <si>
    <t>Consensus High</t>
  </si>
  <si>
    <t>Consensus Low</t>
  </si>
  <si>
    <t>European broker  (est.)</t>
  </si>
  <si>
    <t xml:space="preserve">  ⚡  Risk Sensitivities  — What happens to profits when these change?  (confirmed in earnings release)</t>
  </si>
  <si>
    <t>Risk Factor</t>
  </si>
  <si>
    <t>Impact on Net Profit</t>
  </si>
  <si>
    <t>Direction</t>
  </si>
  <si>
    <t>Related Asset</t>
  </si>
  <si>
    <t>Crude oil  ±$1/barrel</t>
  </si>
  <si>
    <t>±¥2.4B/year</t>
  </si>
  <si>
    <t>Up → profit up; down → profit down</t>
  </si>
  <si>
    <t>LNG (oil-indexed long-term contracts)</t>
  </si>
  <si>
    <t>LNG contracts are priced on crude. High oil = more revenue</t>
  </si>
  <si>
    <t>USD/JPY  ±¥1</t>
  </si>
  <si>
    <t>±¥5.0B/year</t>
  </si>
  <si>
    <t>Yen weak → profit up; Yen strong → down</t>
  </si>
  <si>
    <t>All overseas earnings (biggest FX risk)</t>
  </si>
  <si>
    <t>Profits earned in USD converted to yen. Yen strength hurts</t>
  </si>
  <si>
    <t>Copper  ±$100/tonne</t>
  </si>
  <si>
    <t>±¥2.6B/year</t>
  </si>
  <si>
    <t>Anglo American Sur (Chile copper mine)</t>
  </si>
  <si>
    <t>EVs and renewables drive copper demand long-term</t>
  </si>
  <si>
    <t>⚠️  For educational purposes only. Not investment advice. Always verify figures against official filings. Past performance does not indicate future results. Japan Stock Alpha — japanstockalpha.com</t>
  </si>
  <si>
    <t>Mitsubishi Corp. — DCF Valuation  |  10-Year Explicit FCF + Terminal Value</t>
    <phoneticPr fontId="19"/>
  </si>
  <si>
    <t xml:space="preserve">  Price ÷ FY2027 guided EPS</t>
    <phoneticPr fontId="19"/>
  </si>
  <si>
    <t>FY 2023</t>
    <phoneticPr fontId="19"/>
  </si>
  <si>
    <t>FY 2024</t>
    <phoneticPr fontId="19"/>
  </si>
  <si>
    <t>FY 2025</t>
    <phoneticPr fontId="19"/>
  </si>
  <si>
    <t>Unit</t>
    <phoneticPr fontId="19"/>
  </si>
  <si>
    <t>¥ mn</t>
  </si>
  <si>
    <t>¥/share</t>
  </si>
  <si>
    <t>%</t>
  </si>
  <si>
    <t>Equity attributable to owners</t>
  </si>
  <si>
    <t>BPS</t>
  </si>
  <si>
    <t>Operating cash flow</t>
  </si>
  <si>
    <t>Investing cash flow</t>
  </si>
  <si>
    <t>Free cash flow</t>
  </si>
  <si>
    <t>Net interest-bearing liabilities excl. leases</t>
  </si>
  <si>
    <t>¥ mn</t>
    <phoneticPr fontId="19"/>
  </si>
  <si>
    <t>Net Income</t>
    <phoneticPr fontId="19"/>
  </si>
  <si>
    <t>EPS</t>
  </si>
  <si>
    <t>EPS</t>
    <phoneticPr fontId="19"/>
  </si>
  <si>
    <t>Actual</t>
    <phoneticPr fontId="19"/>
  </si>
  <si>
    <t>Share Price (Closing Price at the end of FY)</t>
  </si>
  <si>
    <t>Share Price (Closing Price at the end of FY)</t>
    <phoneticPr fontId="19"/>
  </si>
  <si>
    <t>PER</t>
  </si>
  <si>
    <t>PER</t>
    <phoneticPr fontId="19"/>
  </si>
  <si>
    <t>multiple</t>
  </si>
  <si>
    <t>multiple</t>
    <phoneticPr fontId="19"/>
  </si>
  <si>
    <t>¥</t>
  </si>
  <si>
    <t xml:space="preserve">Income </t>
    <phoneticPr fontId="19"/>
  </si>
  <si>
    <t>Cashflow</t>
    <phoneticPr fontId="19"/>
  </si>
  <si>
    <t>Financial Postions</t>
    <phoneticPr fontId="19"/>
  </si>
  <si>
    <t>Total Asset</t>
    <phoneticPr fontId="19"/>
  </si>
  <si>
    <t>Total Equity</t>
    <phoneticPr fontId="19"/>
  </si>
  <si>
    <t>BPS</t>
    <phoneticPr fontId="19"/>
  </si>
  <si>
    <t>¥/share</t>
    <phoneticPr fontId="19"/>
  </si>
  <si>
    <t>Cash &amp; Cash Equivalent</t>
    <phoneticPr fontId="19"/>
  </si>
  <si>
    <t>Key Stats/Stock Data</t>
    <phoneticPr fontId="19"/>
  </si>
  <si>
    <t>Dividend Yield</t>
  </si>
  <si>
    <t>Dividend Yield</t>
    <phoneticPr fontId="19"/>
  </si>
  <si>
    <t>%</t>
    <phoneticPr fontId="19"/>
  </si>
  <si>
    <t>PBR</t>
  </si>
  <si>
    <t>PBR</t>
    <phoneticPr fontId="19"/>
  </si>
  <si>
    <t>Outstanding Shares</t>
  </si>
  <si>
    <t>Outstanding Shares</t>
    <phoneticPr fontId="19"/>
  </si>
  <si>
    <t>No. in thousand</t>
  </si>
  <si>
    <t>No. in thousand</t>
    <phoneticPr fontId="19"/>
  </si>
  <si>
    <t>*Underlying Operating cash flow</t>
    <phoneticPr fontId="19"/>
  </si>
  <si>
    <t>Note</t>
    <phoneticPr fontId="19"/>
  </si>
  <si>
    <t>&lt;--Guidance from Earning Report</t>
    <phoneticPr fontId="19"/>
  </si>
  <si>
    <t>Change in Underlying Operating cash flow</t>
    <phoneticPr fontId="19"/>
  </si>
  <si>
    <t>Mid-Term plan shows 10%p.a. average growth rate from FY2025-2027</t>
    <phoneticPr fontId="19"/>
  </si>
  <si>
    <t>Mitsubishi Corp. — Multiples Valuation</t>
    <phoneticPr fontId="19"/>
  </si>
  <si>
    <t>&lt;--Price as of 18 May 2026</t>
    <phoneticPr fontId="19"/>
  </si>
  <si>
    <t>&lt;-No buy back basis</t>
    <phoneticPr fontId="19"/>
  </si>
  <si>
    <t>Implied Price — Forward PER Scenarios</t>
    <phoneticPr fontId="19"/>
  </si>
  <si>
    <t>Sector Low</t>
    <phoneticPr fontId="19"/>
  </si>
  <si>
    <t>Sector High</t>
    <phoneticPr fontId="19"/>
  </si>
  <si>
    <t>Sector Mid</t>
    <phoneticPr fontId="19"/>
  </si>
  <si>
    <t>Financial Results</t>
    <phoneticPr fontId="19"/>
  </si>
  <si>
    <t>Market Cap</t>
  </si>
  <si>
    <t>Market Cap</t>
    <phoneticPr fontId="19"/>
  </si>
  <si>
    <t>Summary as of End of FY2025</t>
    <phoneticPr fontId="19"/>
  </si>
  <si>
    <t>Value</t>
    <phoneticPr fontId="19"/>
  </si>
  <si>
    <t>Actual Results</t>
    <phoneticPr fontId="19"/>
  </si>
  <si>
    <t>Net Income/Earnings FY2026</t>
    <phoneticPr fontId="19"/>
  </si>
  <si>
    <t>Underlying Operating Cashflow</t>
    <phoneticPr fontId="19"/>
  </si>
  <si>
    <t>Dividends</t>
    <phoneticPr fontId="19"/>
  </si>
  <si>
    <t>Market</t>
    <phoneticPr fontId="19"/>
  </si>
  <si>
    <t>Guidance from Earning Report</t>
    <phoneticPr fontId="19"/>
  </si>
  <si>
    <t>Current Share Price (as of 18 May 2026)</t>
    <phoneticPr fontId="19"/>
  </si>
  <si>
    <t>Sector PER - Low (appx)</t>
    <phoneticPr fontId="19"/>
  </si>
  <si>
    <t>Sector PER - High (appx)</t>
    <phoneticPr fontId="19"/>
  </si>
  <si>
    <t>Sector PER - Mid (appx)</t>
    <phoneticPr fontId="19"/>
  </si>
  <si>
    <t>Upside / (Downside)</t>
    <phoneticPr fontId="19"/>
  </si>
  <si>
    <t>Free Cashflow</t>
    <phoneticPr fontId="19"/>
  </si>
  <si>
    <t>Free Cashflow Growth Rate</t>
    <phoneticPr fontId="19"/>
  </si>
  <si>
    <t>No.in thousand</t>
    <phoneticPr fontId="19"/>
  </si>
  <si>
    <t>FCF / Share</t>
    <phoneticPr fontId="19"/>
  </si>
  <si>
    <t>Discount Factor</t>
    <phoneticPr fontId="19"/>
  </si>
  <si>
    <t>Cumulative PV</t>
    <phoneticPr fontId="19"/>
  </si>
  <si>
    <t>factor</t>
    <phoneticPr fontId="19"/>
  </si>
  <si>
    <t>Terminal Value</t>
    <phoneticPr fontId="19"/>
  </si>
  <si>
    <t>Inputs - Multiples Valuation</t>
    <phoneticPr fontId="19"/>
  </si>
  <si>
    <t>Terminal Value / Share</t>
    <phoneticPr fontId="19"/>
  </si>
  <si>
    <t>Present Value - FCF/Share</t>
    <phoneticPr fontId="19"/>
  </si>
  <si>
    <t>Present Value - TV/Share</t>
    <phoneticPr fontId="19"/>
  </si>
  <si>
    <t>Present Value - FCF &amp; TV / Share</t>
    <phoneticPr fontId="19"/>
  </si>
  <si>
    <t>Total</t>
    <phoneticPr fontId="19"/>
  </si>
  <si>
    <t>Inputs - DCF</t>
    <phoneticPr fontId="19"/>
  </si>
  <si>
    <t>Summary - DCF</t>
    <phoneticPr fontId="19"/>
  </si>
  <si>
    <t>Calculations - DCF</t>
    <phoneticPr fontId="19"/>
  </si>
  <si>
    <t>Mitsubishi Corporation 8058.T  —  Valuation Model  |  Confirmed Live Data</t>
    <phoneticPr fontId="19"/>
  </si>
  <si>
    <t>Upside - Share Buy Back ¥ 1,000bn at ¥5,500/share</t>
    <phoneticPr fontId="19"/>
  </si>
  <si>
    <t>Share Buy Back at the end of FY2026</t>
    <phoneticPr fontId="19"/>
  </si>
  <si>
    <t>Share Buy Back Execution Price</t>
    <phoneticPr fontId="19"/>
  </si>
  <si>
    <t>No. of cancelled shares</t>
    <phoneticPr fontId="19"/>
  </si>
  <si>
    <t>Outstanding Shares post Share Buy Back in FY2026</t>
    <phoneticPr fontId="19"/>
  </si>
  <si>
    <t>No Share Buy Back</t>
    <phoneticPr fontId="19"/>
  </si>
  <si>
    <t>With Share Buy Back</t>
    <phoneticPr fontId="19"/>
  </si>
  <si>
    <t>Base</t>
    <phoneticPr fontId="19"/>
  </si>
  <si>
    <t>Upside</t>
    <phoneticPr fontId="19"/>
  </si>
  <si>
    <t>Implied Price — P/B Scenarios</t>
    <phoneticPr fontId="19"/>
  </si>
  <si>
    <t>Forward EPS</t>
    <phoneticPr fontId="19"/>
  </si>
  <si>
    <t>Forward PER (at current price)</t>
    <phoneticPr fontId="19"/>
  </si>
  <si>
    <t>CurrentPrice</t>
    <phoneticPr fontId="19"/>
  </si>
  <si>
    <t>ForwardPER</t>
    <phoneticPr fontId="19"/>
  </si>
  <si>
    <t>Consensus Price Target (¥, avg 14 analysts)</t>
    <phoneticPr fontId="19"/>
  </si>
  <si>
    <t xml:space="preserve"> ANALYST CONSENSUS  (as of 13 May 2026)</t>
    <phoneticPr fontId="19"/>
  </si>
  <si>
    <t>Mitsubishi Corporation 8058.T  —  Historical Results</t>
    <phoneticPr fontId="19"/>
  </si>
  <si>
    <t>Sensitivity Inputs</t>
    <phoneticPr fontId="19"/>
  </si>
  <si>
    <t>Mitsubishi Corporation (8058.T)  —  Valuation Dashboard (Sample/Simplified)</t>
    <phoneticPr fontId="19"/>
  </si>
  <si>
    <t>Net Profit  (¥ mn)</t>
    <phoneticPr fontId="19"/>
  </si>
  <si>
    <t>EPS  (¥)</t>
    <phoneticPr fontId="19"/>
  </si>
  <si>
    <t>Dividend  (¥/share)</t>
    <phoneticPr fontId="19"/>
  </si>
  <si>
    <t>PER Forward 17x (Mid Case)</t>
    <phoneticPr fontId="19"/>
  </si>
  <si>
    <t>P/B 2.0 ×  (historical avg)</t>
    <phoneticPr fontId="19"/>
  </si>
  <si>
    <t>DCF  Base case</t>
    <phoneticPr fontId="19"/>
  </si>
  <si>
    <t>*DCF Base Case with Share Buy Back</t>
    <phoneticPr fontId="19"/>
  </si>
  <si>
    <t>Remarks</t>
    <phoneticPr fontId="19"/>
  </si>
  <si>
    <t>Three Numbers to Know First</t>
    <phoneticPr fontId="19"/>
  </si>
  <si>
    <t>Sector PBR - Low (appx)</t>
    <phoneticPr fontId="19"/>
  </si>
  <si>
    <t>Sector PBR - Mid (appx)</t>
    <phoneticPr fontId="19"/>
  </si>
  <si>
    <t>Sector PBR - High (appx)</t>
    <phoneticPr fontId="19"/>
  </si>
  <si>
    <t>Valuation looks broadly fair based on P/E and P/B metrics, while DCF suggests some upside depending on assumptions.</t>
    <phoneticPr fontId="19"/>
  </si>
  <si>
    <t xml:space="preserve">Mitsubishi Corporation is a high-quality company, but at around ¥5,500 per share, the stock does not appear significantly undervalued. 
</t>
    <phoneticPr fontId="19"/>
  </si>
  <si>
    <r>
      <t xml:space="preserve">  </t>
    </r>
    <r>
      <rPr>
        <b/>
        <sz val="11"/>
        <color theme="0"/>
        <rFont val="Segoe UI Emoji"/>
        <family val="2"/>
      </rPr>
      <t>📈</t>
    </r>
    <r>
      <rPr>
        <b/>
        <sz val="11"/>
        <color theme="0"/>
        <rFont val="Arial"/>
        <family val="2"/>
      </rPr>
      <t xml:space="preserve">  Key Financials  —  FY3/2026 Actual &amp; FY3/2027 Guidance  (</t>
    </r>
    <r>
      <rPr>
        <b/>
        <sz val="11"/>
        <color theme="0"/>
        <rFont val="Segoe UI Emoji"/>
        <family val="2"/>
      </rPr>
      <t>✅</t>
    </r>
    <r>
      <rPr>
        <b/>
        <sz val="11"/>
        <color theme="0"/>
        <rFont val="Arial"/>
        <family val="2"/>
      </rPr>
      <t xml:space="preserve"> = confirmed in earnings release)</t>
    </r>
    <phoneticPr fontId="19"/>
  </si>
  <si>
    <t>Underlying Operating Cashflow Growth in 2026 as per the guidance note is 19.3%.--&gt;Conservative</t>
    <phoneticPr fontId="19"/>
  </si>
  <si>
    <t>&lt;--Less than 70% = Healthy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</si>
</sst>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\¥#,##0;&quot;(¥&quot;#,##0\);\-"/>
    <numFmt numFmtId="178" formatCode="0.0%;\(0.0%\);\-"/>
    <numFmt numFmtId="180" formatCode="\¥#,##0.0\B;&quot;(¥&quot;#,##0.0&quot;B)&quot;;\-"/>
    <numFmt numFmtId="181" formatCode="0.0\x;\(0.0&quot;x)&quot;;\-"/>
    <numFmt numFmtId="183" formatCode="_(#,##0_);\(#,##0\);_(&quot;-&quot;_);_(@_)"/>
    <numFmt numFmtId="184" formatCode="_(#,##0.0_);\(#,##0.0\);_(&quot;-&quot;_);_(@_)"/>
    <numFmt numFmtId="185" formatCode="_(#,##0.00_);\(#,##0.00\);_(&quot;-&quot;_);_(@_)"/>
    <numFmt numFmtId="186" formatCode="0000\A"/>
    <numFmt numFmtId="187" formatCode="#,##0;[Red]\(#,##0\);\-"/>
    <numFmt numFmtId="188" formatCode="0.0%;[Red]\(0.0%\);\-"/>
    <numFmt numFmtId="189" formatCode="_(#,##0.0_)\x;\(#,##0.0\);_(&quot;-&quot;_);_(@_)"/>
    <numFmt numFmtId="190" formatCode="_(#,##0.0%_);\(#,##0.0%\);_(&quot;-&quot;_)_%;_(@_)_%"/>
    <numFmt numFmtId="191" formatCode="_(#,##0.00_)\x;\(#,##0.00\);_(&quot;-&quot;_);_(@_)"/>
    <numFmt numFmtId="192" formatCode="0.00\x;\(0.00&quot;x)&quot;;\-"/>
    <numFmt numFmtId="193" formatCode="&quot;FY&quot;0"/>
  </numFmts>
  <fonts count="50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9"/>
      <color rgb="FF94A3B8"/>
      <name val="Arial"/>
      <family val="2"/>
    </font>
    <font>
      <b/>
      <sz val="10"/>
      <color rgb="FF0E1E3A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9"/>
      <color rgb="FF64748B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8"/>
      <color rgb="FF64748B"/>
      <name val="Arial"/>
      <family val="2"/>
    </font>
    <font>
      <i/>
      <sz val="8"/>
      <color rgb="FF475569"/>
      <name val="Arial"/>
      <family val="2"/>
    </font>
    <font>
      <sz val="9"/>
      <color rgb="FFFFFFFF"/>
      <name val="Arial"/>
      <family val="2"/>
    </font>
    <font>
      <b/>
      <sz val="18"/>
      <color rgb="FFFFFFFF"/>
      <name val="Arial"/>
      <family val="2"/>
    </font>
    <font>
      <i/>
      <sz val="8"/>
      <color rgb="FFFFFFFF"/>
      <name val="Arial"/>
      <family val="2"/>
    </font>
    <font>
      <b/>
      <sz val="10"/>
      <color rgb="FFB45309"/>
      <name val="Arial"/>
      <family val="2"/>
    </font>
    <font>
      <i/>
      <sz val="9"/>
      <color rgb="FF475569"/>
      <name val="Arial"/>
      <family val="2"/>
    </font>
    <font>
      <sz val="9"/>
      <color rgb="FF059669"/>
      <name val="Arial"/>
      <family val="2"/>
    </font>
    <font>
      <i/>
      <sz val="9"/>
      <color rgb="FFDC2626"/>
      <name val="Arial"/>
      <family val="2"/>
    </font>
    <font>
      <b/>
      <sz val="12"/>
      <color theme="0"/>
      <name val="Arial"/>
      <family val="2"/>
    </font>
    <font>
      <sz val="6"/>
      <name val="ＭＳ Ｐゴシック"/>
      <family val="3"/>
      <charset val="128"/>
    </font>
    <font>
      <b/>
      <sz val="15"/>
      <color theme="0"/>
      <name val="Arial"/>
      <family val="2"/>
    </font>
    <font>
      <sz val="11"/>
      <color theme="1"/>
      <name val="Calibri"/>
      <family val="2"/>
    </font>
    <font>
      <sz val="10"/>
      <color theme="1"/>
      <name val="Aptos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charset val="1"/>
    </font>
    <font>
      <i/>
      <sz val="10"/>
      <name val="Arial"/>
      <family val="2"/>
    </font>
    <font>
      <b/>
      <sz val="11"/>
      <color rgb="FF002060"/>
      <name val="Arial"/>
      <family val="2"/>
    </font>
    <font>
      <b/>
      <sz val="15"/>
      <color rgb="FF00206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charset val="1"/>
    </font>
    <font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008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0"/>
      <name val="Segoe UI Emoji"/>
      <family val="2"/>
    </font>
  </fonts>
  <fills count="17">
    <fill>
      <patternFill patternType="none"/>
    </fill>
    <fill>
      <patternFill patternType="gray125"/>
    </fill>
    <fill>
      <patternFill patternType="solid">
        <fgColor rgb="FF0E1E3A"/>
        <bgColor rgb="FF0F172A"/>
      </patternFill>
    </fill>
    <fill>
      <patternFill patternType="solid">
        <fgColor rgb="FF334155"/>
        <bgColor rgb="FF1E3A5F"/>
      </patternFill>
    </fill>
    <fill>
      <patternFill patternType="solid">
        <fgColor rgb="FFE2E8F0"/>
        <bgColor rgb="FFE0F2FE"/>
      </patternFill>
    </fill>
    <fill>
      <patternFill patternType="solid">
        <fgColor rgb="FFFFFFFF"/>
        <bgColor rgb="FFF0F9FF"/>
      </patternFill>
    </fill>
    <fill>
      <patternFill patternType="solid">
        <fgColor rgb="FF1E3A5F"/>
        <bgColor rgb="FF334155"/>
      </patternFill>
    </fill>
    <fill>
      <patternFill patternType="solid">
        <fgColor rgb="FF00B0F0"/>
        <bgColor rgb="FF33415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2E8F0"/>
        <bgColor rgb="FFF0F9FF"/>
      </patternFill>
    </fill>
    <fill>
      <patternFill patternType="solid">
        <fgColor rgb="FFFFFF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E2E8F0"/>
        <bgColor rgb="FF1E3A5F"/>
      </patternFill>
    </fill>
    <fill>
      <patternFill patternType="solid">
        <fgColor rgb="FFE2E8F0"/>
        <bgColor rgb="FF0F172A"/>
      </patternFill>
    </fill>
  </fills>
  <borders count="26">
    <border>
      <left/>
      <right/>
      <top/>
      <bottom/>
      <diagonal/>
    </border>
    <border>
      <left style="thin">
        <color rgb="FF1E293B"/>
      </left>
      <right/>
      <top style="thin">
        <color rgb="FF1E293B"/>
      </top>
      <bottom style="thin">
        <color rgb="FF1E293B"/>
      </bottom>
      <diagonal/>
    </border>
    <border>
      <left/>
      <right/>
      <top/>
      <bottom style="thin">
        <color rgb="FF1E293B"/>
      </bottom>
      <diagonal/>
    </border>
    <border>
      <left style="thin">
        <color rgb="FF1E293B"/>
      </left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1E293B"/>
      </left>
      <right style="thin">
        <color rgb="FF1E293B"/>
      </right>
      <top/>
      <bottom style="thin">
        <color rgb="FF1E293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21" fillId="0" borderId="0"/>
  </cellStyleXfs>
  <cellXfs count="267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178" fontId="4" fillId="4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0" fontId="0" fillId="5" borderId="2" xfId="0" applyFill="1" applyBorder="1"/>
    <xf numFmtId="0" fontId="14" fillId="4" borderId="2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181" fontId="12" fillId="6" borderId="0" xfId="0" applyNumberFormat="1" applyFont="1" applyFill="1" applyAlignment="1">
      <alignment horizontal="centerContinuous" vertical="center" wrapText="1"/>
    </xf>
    <xf numFmtId="0" fontId="11" fillId="6" borderId="6" xfId="0" applyFont="1" applyFill="1" applyBorder="1" applyAlignment="1">
      <alignment vertical="center"/>
    </xf>
    <xf numFmtId="181" fontId="12" fillId="6" borderId="8" xfId="0" applyNumberFormat="1" applyFont="1" applyFill="1" applyBorder="1" applyAlignment="1">
      <alignment horizontal="centerContinuous" vertical="center" wrapText="1"/>
    </xf>
    <xf numFmtId="0" fontId="13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76" fontId="12" fillId="2" borderId="7" xfId="0" applyNumberFormat="1" applyFont="1" applyFill="1" applyBorder="1" applyAlignment="1">
      <alignment horizontal="centerContinuous" vertical="center" wrapText="1"/>
    </xf>
    <xf numFmtId="176" fontId="12" fillId="2" borderId="8" xfId="0" applyNumberFormat="1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7" borderId="11" xfId="0" applyFont="1" applyFill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176" fontId="12" fillId="7" borderId="0" xfId="0" applyNumberFormat="1" applyFont="1" applyFill="1" applyAlignment="1">
      <alignment horizontal="centerContinuous" vertical="center" wrapText="1"/>
    </xf>
    <xf numFmtId="176" fontId="12" fillId="7" borderId="8" xfId="0" applyNumberFormat="1" applyFont="1" applyFill="1" applyBorder="1" applyAlignment="1">
      <alignment horizontal="centerContinuous" vertical="center" wrapText="1"/>
    </xf>
    <xf numFmtId="0" fontId="13" fillId="7" borderId="12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86" fontId="3" fillId="0" borderId="0" xfId="0" applyNumberFormat="1" applyFont="1" applyAlignment="1">
      <alignment horizontal="center" vertical="center"/>
    </xf>
    <xf numFmtId="0" fontId="22" fillId="0" borderId="0" xfId="1" applyFont="1" applyAlignment="1">
      <alignment wrapText="1"/>
    </xf>
    <xf numFmtId="188" fontId="22" fillId="0" borderId="0" xfId="1" applyNumberFormat="1" applyFont="1" applyAlignment="1">
      <alignment wrapText="1"/>
    </xf>
    <xf numFmtId="0" fontId="0" fillId="0" borderId="13" xfId="0" applyBorder="1"/>
    <xf numFmtId="0" fontId="4" fillId="0" borderId="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28" fillId="0" borderId="12" xfId="0" applyFont="1" applyBorder="1"/>
    <xf numFmtId="0" fontId="26" fillId="0" borderId="13" xfId="0" applyFont="1" applyBorder="1"/>
    <xf numFmtId="0" fontId="25" fillId="0" borderId="13" xfId="1" applyFont="1" applyBorder="1" applyAlignment="1">
      <alignment wrapText="1"/>
    </xf>
    <xf numFmtId="0" fontId="26" fillId="0" borderId="0" xfId="0" applyFont="1"/>
    <xf numFmtId="0" fontId="29" fillId="0" borderId="13" xfId="0" applyFont="1" applyBorder="1"/>
    <xf numFmtId="0" fontId="30" fillId="0" borderId="13" xfId="1" applyFont="1" applyBorder="1" applyAlignment="1">
      <alignment wrapText="1"/>
    </xf>
    <xf numFmtId="183" fontId="23" fillId="0" borderId="12" xfId="1" applyNumberFormat="1" applyFont="1" applyBorder="1" applyAlignment="1">
      <alignment horizontal="left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13" xfId="0" applyFont="1" applyBorder="1" applyAlignment="1">
      <alignment horizontal="left" vertical="center" indent="1"/>
    </xf>
    <xf numFmtId="0" fontId="8" fillId="8" borderId="2" xfId="0" applyFont="1" applyFill="1" applyBorder="1" applyAlignment="1">
      <alignment horizontal="left" vertical="center"/>
    </xf>
    <xf numFmtId="0" fontId="32" fillId="8" borderId="2" xfId="0" applyFont="1" applyFill="1" applyBorder="1" applyAlignment="1">
      <alignment horizontal="left" vertical="center"/>
    </xf>
    <xf numFmtId="183" fontId="32" fillId="8" borderId="2" xfId="0" applyNumberFormat="1" applyFont="1" applyFill="1" applyBorder="1" applyAlignment="1">
      <alignment horizontal="right" vertical="center"/>
    </xf>
    <xf numFmtId="183" fontId="33" fillId="8" borderId="2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left" vertical="center"/>
    </xf>
    <xf numFmtId="0" fontId="32" fillId="9" borderId="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left" vertical="center"/>
    </xf>
    <xf numFmtId="183" fontId="1" fillId="0" borderId="13" xfId="0" applyNumberFormat="1" applyFont="1" applyBorder="1" applyAlignment="1">
      <alignment horizontal="right" vertical="center"/>
    </xf>
    <xf numFmtId="183" fontId="1" fillId="0" borderId="2" xfId="0" applyNumberFormat="1" applyFont="1" applyBorder="1" applyAlignment="1">
      <alignment horizontal="right" vertical="center"/>
    </xf>
    <xf numFmtId="0" fontId="34" fillId="9" borderId="2" xfId="0" applyFont="1" applyFill="1" applyBorder="1" applyAlignment="1">
      <alignment horizontal="left" vertical="center"/>
    </xf>
    <xf numFmtId="183" fontId="35" fillId="9" borderId="13" xfId="0" applyNumberFormat="1" applyFont="1" applyFill="1" applyBorder="1" applyAlignment="1">
      <alignment horizontal="right" vertical="center"/>
    </xf>
    <xf numFmtId="183" fontId="35" fillId="9" borderId="2" xfId="0" applyNumberFormat="1" applyFont="1" applyFill="1" applyBorder="1" applyAlignment="1">
      <alignment horizontal="right" vertical="center"/>
    </xf>
    <xf numFmtId="183" fontId="1" fillId="0" borderId="13" xfId="1" applyNumberFormat="1" applyFont="1" applyBorder="1" applyAlignment="1">
      <alignment wrapText="1"/>
    </xf>
    <xf numFmtId="0" fontId="36" fillId="0" borderId="0" xfId="0" applyFont="1"/>
    <xf numFmtId="183" fontId="35" fillId="8" borderId="13" xfId="0" applyNumberFormat="1" applyFont="1" applyFill="1" applyBorder="1" applyAlignment="1">
      <alignment horizontal="right" vertical="center"/>
    </xf>
    <xf numFmtId="190" fontId="1" fillId="0" borderId="13" xfId="1" applyNumberFormat="1" applyFont="1" applyBorder="1" applyAlignment="1">
      <alignment wrapText="1"/>
    </xf>
    <xf numFmtId="189" fontId="35" fillId="0" borderId="2" xfId="0" applyNumberFormat="1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left" vertical="center" wrapText="1"/>
    </xf>
    <xf numFmtId="183" fontId="37" fillId="0" borderId="2" xfId="0" applyNumberFormat="1" applyFont="1" applyBorder="1" applyAlignment="1">
      <alignment horizontal="right" vertical="center"/>
    </xf>
    <xf numFmtId="190" fontId="37" fillId="0" borderId="2" xfId="0" applyNumberFormat="1" applyFont="1" applyBorder="1" applyAlignment="1">
      <alignment horizontal="right" vertical="center"/>
    </xf>
    <xf numFmtId="183" fontId="1" fillId="0" borderId="2" xfId="0" applyNumberFormat="1" applyFont="1" applyBorder="1" applyAlignment="1">
      <alignment horizontal="left" vertical="center"/>
    </xf>
    <xf numFmtId="183" fontId="37" fillId="9" borderId="2" xfId="0" applyNumberFormat="1" applyFont="1" applyFill="1" applyBorder="1" applyAlignment="1">
      <alignment horizontal="left" vertical="center"/>
    </xf>
    <xf numFmtId="183" fontId="1" fillId="9" borderId="2" xfId="0" applyNumberFormat="1" applyFont="1" applyFill="1" applyBorder="1" applyAlignment="1">
      <alignment horizontal="left" vertical="center"/>
    </xf>
    <xf numFmtId="183" fontId="1" fillId="0" borderId="13" xfId="0" applyNumberFormat="1" applyFont="1" applyBorder="1" applyAlignment="1">
      <alignment horizontal="left" vertical="center"/>
    </xf>
    <xf numFmtId="183" fontId="36" fillId="0" borderId="0" xfId="0" applyNumberFormat="1" applyFont="1" applyAlignment="1">
      <alignment horizontal="left"/>
    </xf>
    <xf numFmtId="183" fontId="1" fillId="8" borderId="13" xfId="0" applyNumberFormat="1" applyFont="1" applyFill="1" applyBorder="1" applyAlignment="1">
      <alignment horizontal="left" vertical="center"/>
    </xf>
    <xf numFmtId="187" fontId="1" fillId="0" borderId="13" xfId="1" applyNumberFormat="1" applyFont="1" applyBorder="1" applyAlignment="1">
      <alignment horizontal="left" wrapText="1"/>
    </xf>
    <xf numFmtId="187" fontId="1" fillId="0" borderId="12" xfId="1" applyNumberFormat="1" applyFont="1" applyBorder="1" applyAlignment="1">
      <alignment horizontal="left" wrapText="1"/>
    </xf>
    <xf numFmtId="183" fontId="35" fillId="0" borderId="13" xfId="1" applyNumberFormat="1" applyFont="1" applyBorder="1" applyAlignment="1">
      <alignment wrapText="1"/>
    </xf>
    <xf numFmtId="0" fontId="23" fillId="0" borderId="0" xfId="0" applyFont="1"/>
    <xf numFmtId="0" fontId="25" fillId="0" borderId="0" xfId="0" applyFont="1"/>
    <xf numFmtId="180" fontId="5" fillId="0" borderId="2" xfId="0" applyNumberFormat="1" applyFont="1" applyBorder="1" applyAlignment="1">
      <alignment horizontal="right" vertical="center"/>
    </xf>
    <xf numFmtId="0" fontId="30" fillId="0" borderId="0" xfId="1" applyFont="1" applyAlignment="1">
      <alignment wrapText="1"/>
    </xf>
    <xf numFmtId="183" fontId="32" fillId="8" borderId="12" xfId="0" applyNumberFormat="1" applyFont="1" applyFill="1" applyBorder="1" applyAlignment="1">
      <alignment horizontal="right" vertical="center"/>
    </xf>
    <xf numFmtId="0" fontId="3" fillId="10" borderId="11" xfId="0" applyFont="1" applyFill="1" applyBorder="1"/>
    <xf numFmtId="0" fontId="3" fillId="10" borderId="11" xfId="0" applyFont="1" applyFill="1" applyBorder="1" applyAlignment="1">
      <alignment vertical="top"/>
    </xf>
    <xf numFmtId="186" fontId="3" fillId="10" borderId="11" xfId="0" applyNumberFormat="1" applyFont="1" applyFill="1" applyBorder="1" applyAlignment="1">
      <alignment horizontal="center"/>
    </xf>
    <xf numFmtId="186" fontId="23" fillId="10" borderId="11" xfId="0" applyNumberFormat="1" applyFont="1" applyFill="1" applyBorder="1" applyAlignment="1">
      <alignment horizontal="center" vertical="top" wrapText="1"/>
    </xf>
    <xf numFmtId="0" fontId="3" fillId="10" borderId="12" xfId="0" applyFont="1" applyFill="1" applyBorder="1"/>
    <xf numFmtId="186" fontId="24" fillId="10" borderId="12" xfId="0" applyNumberFormat="1" applyFont="1" applyFill="1" applyBorder="1" applyAlignment="1">
      <alignment horizontal="center"/>
    </xf>
    <xf numFmtId="186" fontId="3" fillId="10" borderId="12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183" fontId="1" fillId="0" borderId="12" xfId="1" applyNumberFormat="1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183" fontId="25" fillId="0" borderId="13" xfId="0" applyNumberFormat="1" applyFont="1" applyBorder="1"/>
    <xf numFmtId="189" fontId="1" fillId="0" borderId="0" xfId="0" applyNumberFormat="1" applyFont="1" applyAlignment="1">
      <alignment horizontal="right" vertical="center"/>
    </xf>
    <xf numFmtId="183" fontId="4" fillId="4" borderId="2" xfId="0" applyNumberFormat="1" applyFont="1" applyFill="1" applyBorder="1" applyAlignment="1">
      <alignment horizontal="right" vertical="center"/>
    </xf>
    <xf numFmtId="183" fontId="4" fillId="5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12" xfId="0" applyFont="1" applyBorder="1"/>
    <xf numFmtId="193" fontId="25" fillId="0" borderId="12" xfId="0" applyNumberFormat="1" applyFont="1" applyBorder="1" applyAlignment="1">
      <alignment horizontal="center"/>
    </xf>
    <xf numFmtId="0" fontId="25" fillId="0" borderId="11" xfId="0" applyFont="1" applyBorder="1"/>
    <xf numFmtId="183" fontId="30" fillId="0" borderId="0" xfId="0" applyNumberFormat="1" applyFont="1"/>
    <xf numFmtId="0" fontId="25" fillId="9" borderId="16" xfId="0" applyFont="1" applyFill="1" applyBorder="1" applyAlignment="1">
      <alignment horizontal="center"/>
    </xf>
    <xf numFmtId="193" fontId="25" fillId="9" borderId="17" xfId="0" applyNumberFormat="1" applyFont="1" applyFill="1" applyBorder="1" applyAlignment="1">
      <alignment horizontal="center"/>
    </xf>
    <xf numFmtId="0" fontId="25" fillId="9" borderId="18" xfId="0" applyFont="1" applyFill="1" applyBorder="1"/>
    <xf numFmtId="183" fontId="25" fillId="9" borderId="18" xfId="0" applyNumberFormat="1" applyFont="1" applyFill="1" applyBorder="1"/>
    <xf numFmtId="185" fontId="5" fillId="8" borderId="18" xfId="0" applyNumberFormat="1" applyFont="1" applyFill="1" applyBorder="1"/>
    <xf numFmtId="0" fontId="25" fillId="9" borderId="4" xfId="0" applyFont="1" applyFill="1" applyBorder="1"/>
    <xf numFmtId="183" fontId="8" fillId="12" borderId="15" xfId="0" applyNumberFormat="1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left" vertical="center" wrapText="1"/>
    </xf>
    <xf numFmtId="183" fontId="8" fillId="11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14" borderId="12" xfId="0" applyFont="1" applyFill="1" applyBorder="1" applyAlignment="1">
      <alignment vertical="center"/>
    </xf>
    <xf numFmtId="0" fontId="0" fillId="14" borderId="12" xfId="0" applyFill="1" applyBorder="1"/>
    <xf numFmtId="0" fontId="25" fillId="14" borderId="12" xfId="0" applyFont="1" applyFill="1" applyBorder="1"/>
    <xf numFmtId="0" fontId="40" fillId="14" borderId="12" xfId="0" applyFont="1" applyFill="1" applyBorder="1" applyAlignment="1">
      <alignment vertical="center"/>
    </xf>
    <xf numFmtId="0" fontId="3" fillId="14" borderId="2" xfId="0" applyFont="1" applyFill="1" applyBorder="1" applyAlignment="1">
      <alignment vertical="center"/>
    </xf>
    <xf numFmtId="0" fontId="40" fillId="14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0" borderId="0" xfId="0" applyFill="1" applyBorder="1"/>
    <xf numFmtId="0" fontId="25" fillId="0" borderId="0" xfId="0" applyFont="1" applyFill="1" applyBorder="1"/>
    <xf numFmtId="0" fontId="25" fillId="0" borderId="5" xfId="0" applyFont="1" applyBorder="1"/>
    <xf numFmtId="0" fontId="25" fillId="0" borderId="6" xfId="0" applyFont="1" applyBorder="1"/>
    <xf numFmtId="0" fontId="25" fillId="0" borderId="9" xfId="0" applyFont="1" applyBorder="1"/>
    <xf numFmtId="193" fontId="25" fillId="0" borderId="10" xfId="0" applyNumberFormat="1" applyFont="1" applyBorder="1" applyAlignment="1">
      <alignment horizontal="center"/>
    </xf>
    <xf numFmtId="0" fontId="25" fillId="11" borderId="7" xfId="0" applyFont="1" applyFill="1" applyBorder="1"/>
    <xf numFmtId="0" fontId="25" fillId="11" borderId="0" xfId="0" applyFont="1" applyFill="1" applyBorder="1"/>
    <xf numFmtId="9" fontId="4" fillId="0" borderId="0" xfId="0" applyNumberFormat="1" applyFont="1" applyFill="1" applyBorder="1"/>
    <xf numFmtId="9" fontId="4" fillId="0" borderId="8" xfId="0" applyNumberFormat="1" applyFont="1" applyFill="1" applyBorder="1"/>
    <xf numFmtId="0" fontId="25" fillId="0" borderId="7" xfId="0" applyFont="1" applyBorder="1"/>
    <xf numFmtId="0" fontId="4" fillId="5" borderId="0" xfId="0" applyFont="1" applyFill="1" applyBorder="1" applyAlignment="1">
      <alignment horizontal="left" vertical="center" wrapText="1"/>
    </xf>
    <xf numFmtId="183" fontId="4" fillId="5" borderId="0" xfId="0" applyNumberFormat="1" applyFont="1" applyFill="1" applyBorder="1" applyAlignment="1">
      <alignment horizontal="right" vertical="center" wrapText="1"/>
    </xf>
    <xf numFmtId="183" fontId="25" fillId="0" borderId="0" xfId="0" applyNumberFormat="1" applyFont="1" applyBorder="1"/>
    <xf numFmtId="183" fontId="25" fillId="0" borderId="8" xfId="0" applyNumberFormat="1" applyFont="1" applyBorder="1"/>
    <xf numFmtId="183" fontId="25" fillId="11" borderId="0" xfId="0" applyNumberFormat="1" applyFont="1" applyFill="1" applyBorder="1"/>
    <xf numFmtId="183" fontId="25" fillId="11" borderId="8" xfId="0" applyNumberFormat="1" applyFont="1" applyFill="1" applyBorder="1"/>
    <xf numFmtId="185" fontId="25" fillId="11" borderId="0" xfId="0" applyNumberFormat="1" applyFont="1" applyFill="1" applyBorder="1"/>
    <xf numFmtId="185" fontId="25" fillId="11" borderId="8" xfId="0" applyNumberFormat="1" applyFont="1" applyFill="1" applyBorder="1"/>
    <xf numFmtId="0" fontId="25" fillId="0" borderId="19" xfId="0" applyFont="1" applyBorder="1"/>
    <xf numFmtId="183" fontId="25" fillId="0" borderId="20" xfId="0" applyNumberFormat="1" applyFont="1" applyBorder="1"/>
    <xf numFmtId="0" fontId="30" fillId="11" borderId="19" xfId="0" applyFont="1" applyFill="1" applyBorder="1"/>
    <xf numFmtId="0" fontId="8" fillId="12" borderId="13" xfId="0" applyFont="1" applyFill="1" applyBorder="1" applyAlignment="1">
      <alignment horizontal="left" vertical="center" wrapText="1"/>
    </xf>
    <xf numFmtId="0" fontId="0" fillId="14" borderId="0" xfId="0" applyFill="1"/>
    <xf numFmtId="0" fontId="40" fillId="14" borderId="0" xfId="0" applyFont="1" applyFill="1" applyAlignment="1">
      <alignment vertical="center"/>
    </xf>
    <xf numFmtId="0" fontId="41" fillId="14" borderId="0" xfId="0" applyFont="1" applyFill="1"/>
    <xf numFmtId="186" fontId="40" fillId="14" borderId="0" xfId="0" applyNumberFormat="1" applyFont="1" applyFill="1" applyAlignment="1">
      <alignment horizontal="center" vertical="center"/>
    </xf>
    <xf numFmtId="0" fontId="40" fillId="14" borderId="11" xfId="0" applyFont="1" applyFill="1" applyBorder="1"/>
    <xf numFmtId="0" fontId="40" fillId="14" borderId="0" xfId="1" applyFont="1" applyFill="1" applyAlignment="1">
      <alignment wrapText="1"/>
    </xf>
    <xf numFmtId="0" fontId="4" fillId="0" borderId="13" xfId="0" applyFont="1" applyFill="1" applyBorder="1" applyAlignment="1">
      <alignment horizontal="left" vertical="center" wrapText="1"/>
    </xf>
    <xf numFmtId="192" fontId="1" fillId="0" borderId="13" xfId="0" applyNumberFormat="1" applyFont="1" applyFill="1" applyBorder="1" applyAlignment="1">
      <alignment horizontal="right" vertical="center"/>
    </xf>
    <xf numFmtId="183" fontId="4" fillId="0" borderId="13" xfId="0" applyNumberFormat="1" applyFont="1" applyFill="1" applyBorder="1" applyAlignment="1">
      <alignment horizontal="right" vertical="center"/>
    </xf>
    <xf numFmtId="183" fontId="8" fillId="0" borderId="13" xfId="0" applyNumberFormat="1" applyFont="1" applyFill="1" applyBorder="1" applyAlignment="1">
      <alignment horizontal="right" vertical="center"/>
    </xf>
    <xf numFmtId="178" fontId="0" fillId="0" borderId="13" xfId="0" applyNumberFormat="1" applyFill="1" applyBorder="1" applyAlignment="1">
      <alignment horizontal="right" vertical="center"/>
    </xf>
    <xf numFmtId="0" fontId="30" fillId="0" borderId="0" xfId="0" applyFont="1" applyFill="1" applyBorder="1"/>
    <xf numFmtId="0" fontId="35" fillId="15" borderId="14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5" fillId="0" borderId="0" xfId="0" applyFont="1" applyBorder="1"/>
    <xf numFmtId="0" fontId="26" fillId="0" borderId="0" xfId="0" applyFont="1" applyBorder="1"/>
    <xf numFmtId="0" fontId="0" fillId="0" borderId="0" xfId="0" applyBorder="1"/>
    <xf numFmtId="0" fontId="27" fillId="0" borderId="0" xfId="0" applyFont="1" applyBorder="1" applyAlignment="1">
      <alignment vertical="center"/>
    </xf>
    <xf numFmtId="0" fontId="42" fillId="0" borderId="0" xfId="0" applyFont="1"/>
    <xf numFmtId="0" fontId="43" fillId="0" borderId="0" xfId="0" applyFont="1"/>
    <xf numFmtId="0" fontId="40" fillId="14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76" fontId="35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83" fontId="44" fillId="0" borderId="23" xfId="0" applyNumberFormat="1" applyFont="1" applyFill="1" applyBorder="1" applyAlignment="1">
      <alignment horizontal="right" vertical="center"/>
    </xf>
    <xf numFmtId="178" fontId="44" fillId="0" borderId="23" xfId="0" applyNumberFormat="1" applyFont="1" applyFill="1" applyBorder="1" applyAlignment="1">
      <alignment horizontal="right" vertical="center"/>
    </xf>
    <xf numFmtId="189" fontId="44" fillId="0" borderId="23" xfId="0" applyNumberFormat="1" applyFont="1" applyFill="1" applyBorder="1" applyAlignment="1">
      <alignment horizontal="right" vertical="center"/>
    </xf>
    <xf numFmtId="183" fontId="44" fillId="0" borderId="22" xfId="0" applyNumberFormat="1" applyFont="1" applyFill="1" applyBorder="1"/>
    <xf numFmtId="0" fontId="35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191" fontId="1" fillId="0" borderId="0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191" fontId="4" fillId="0" borderId="0" xfId="0" applyNumberFormat="1" applyFont="1" applyFill="1" applyBorder="1" applyAlignment="1">
      <alignment horizontal="right" vertical="center"/>
    </xf>
    <xf numFmtId="176" fontId="5" fillId="13" borderId="23" xfId="0" applyNumberFormat="1" applyFont="1" applyFill="1" applyBorder="1" applyAlignment="1">
      <alignment horizontal="right" vertical="center"/>
    </xf>
    <xf numFmtId="184" fontId="5" fillId="13" borderId="2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25" fillId="0" borderId="0" xfId="1" applyFont="1" applyFill="1" applyBorder="1" applyAlignment="1">
      <alignment wrapText="1"/>
    </xf>
    <xf numFmtId="183" fontId="4" fillId="0" borderId="23" xfId="0" applyNumberFormat="1" applyFont="1" applyFill="1" applyBorder="1" applyAlignment="1">
      <alignment vertical="center" wrapText="1"/>
    </xf>
    <xf numFmtId="183" fontId="4" fillId="0" borderId="24" xfId="0" applyNumberFormat="1" applyFont="1" applyFill="1" applyBorder="1" applyAlignment="1">
      <alignment vertical="center" wrapText="1"/>
    </xf>
    <xf numFmtId="190" fontId="4" fillId="0" borderId="23" xfId="0" applyNumberFormat="1" applyFont="1" applyFill="1" applyBorder="1" applyAlignment="1">
      <alignment vertical="center" wrapText="1"/>
    </xf>
    <xf numFmtId="189" fontId="4" fillId="0" borderId="22" xfId="0" applyNumberFormat="1" applyFont="1" applyFill="1" applyBorder="1" applyAlignment="1">
      <alignment horizontal="right" vertical="center"/>
    </xf>
    <xf numFmtId="189" fontId="4" fillId="0" borderId="23" xfId="0" applyNumberFormat="1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183" fontId="5" fillId="13" borderId="22" xfId="0" applyNumberFormat="1" applyFont="1" applyFill="1" applyBorder="1" applyAlignment="1">
      <alignment horizontal="right" vertical="center"/>
    </xf>
    <xf numFmtId="183" fontId="5" fillId="13" borderId="25" xfId="0" applyNumberFormat="1" applyFont="1" applyFill="1" applyBorder="1" applyAlignment="1">
      <alignment horizontal="right" vertical="center"/>
    </xf>
    <xf numFmtId="183" fontId="5" fillId="13" borderId="24" xfId="0" applyNumberFormat="1" applyFont="1" applyFill="1" applyBorder="1" applyAlignment="1">
      <alignment horizontal="right" vertical="center"/>
    </xf>
    <xf numFmtId="191" fontId="5" fillId="13" borderId="22" xfId="0" applyNumberFormat="1" applyFont="1" applyFill="1" applyBorder="1" applyAlignment="1">
      <alignment horizontal="right" vertical="center"/>
    </xf>
    <xf numFmtId="191" fontId="5" fillId="13" borderId="23" xfId="0" applyNumberFormat="1" applyFont="1" applyFill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23" fillId="5" borderId="12" xfId="0" applyFont="1" applyFill="1" applyBorder="1" applyAlignment="1">
      <alignment horizontal="left" vertical="center" wrapText="1"/>
    </xf>
    <xf numFmtId="189" fontId="1" fillId="0" borderId="12" xfId="0" applyNumberFormat="1" applyFont="1" applyBorder="1" applyAlignment="1">
      <alignment horizontal="right" vertical="center"/>
    </xf>
    <xf numFmtId="183" fontId="4" fillId="0" borderId="0" xfId="0" applyNumberFormat="1" applyFont="1" applyFill="1" applyBorder="1" applyAlignment="1">
      <alignment horizontal="right" vertical="center"/>
    </xf>
    <xf numFmtId="180" fontId="5" fillId="14" borderId="0" xfId="0" applyNumberFormat="1" applyFont="1" applyFill="1" applyBorder="1" applyAlignment="1">
      <alignment horizontal="right" vertical="center"/>
    </xf>
    <xf numFmtId="0" fontId="6" fillId="14" borderId="0" xfId="0" applyFont="1" applyFill="1" applyBorder="1" applyAlignment="1">
      <alignment horizontal="left" vertical="center" wrapText="1"/>
    </xf>
    <xf numFmtId="178" fontId="5" fillId="13" borderId="22" xfId="0" applyNumberFormat="1" applyFont="1" applyFill="1" applyBorder="1" applyAlignment="1">
      <alignment horizontal="right" vertical="center"/>
    </xf>
    <xf numFmtId="178" fontId="5" fillId="13" borderId="2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right" vertical="center"/>
    </xf>
    <xf numFmtId="183" fontId="5" fillId="13" borderId="23" xfId="0" applyNumberFormat="1" applyFont="1" applyFill="1" applyBorder="1" applyAlignment="1">
      <alignment horizontal="right" vertical="center"/>
    </xf>
    <xf numFmtId="192" fontId="1" fillId="0" borderId="2" xfId="0" applyNumberFormat="1" applyFont="1" applyFill="1" applyBorder="1" applyAlignment="1">
      <alignment horizontal="right" vertical="center"/>
    </xf>
    <xf numFmtId="183" fontId="4" fillId="0" borderId="2" xfId="0" applyNumberFormat="1" applyFont="1" applyFill="1" applyBorder="1" applyAlignment="1">
      <alignment horizontal="right" vertical="center"/>
    </xf>
    <xf numFmtId="183" fontId="8" fillId="0" borderId="2" xfId="0" applyNumberFormat="1" applyFon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92" fontId="1" fillId="0" borderId="0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5" fillId="15" borderId="12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35" fillId="15" borderId="13" xfId="0" applyFont="1" applyFill="1" applyBorder="1" applyAlignment="1">
      <alignment horizontal="center" vertical="center" wrapText="1"/>
    </xf>
    <xf numFmtId="0" fontId="45" fillId="14" borderId="0" xfId="0" applyFont="1" applyFill="1" applyAlignment="1">
      <alignment vertical="center"/>
    </xf>
    <xf numFmtId="0" fontId="20" fillId="16" borderId="0" xfId="0" applyFont="1" applyFill="1" applyBorder="1" applyAlignment="1">
      <alignment vertical="center"/>
    </xf>
    <xf numFmtId="0" fontId="18" fillId="16" borderId="0" xfId="0" applyFont="1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39" fillId="16" borderId="0" xfId="0" applyFont="1" applyFill="1" applyBorder="1" applyAlignment="1">
      <alignment vertical="center"/>
    </xf>
    <xf numFmtId="0" fontId="45" fillId="14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/>
    </xf>
    <xf numFmtId="0" fontId="45" fillId="14" borderId="2" xfId="0" applyFont="1" applyFill="1" applyBorder="1" applyAlignment="1">
      <alignment vertical="center"/>
    </xf>
    <xf numFmtId="0" fontId="35" fillId="15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vertical="center"/>
    </xf>
    <xf numFmtId="0" fontId="20" fillId="11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3" fillId="11" borderId="0" xfId="0" applyFont="1" applyFill="1" applyAlignment="1">
      <alignment vertical="center"/>
    </xf>
    <xf numFmtId="0" fontId="0" fillId="11" borderId="0" xfId="0" applyFill="1"/>
    <xf numFmtId="186" fontId="3" fillId="11" borderId="0" xfId="0" applyNumberFormat="1" applyFont="1" applyFill="1" applyAlignment="1">
      <alignment horizontal="center" vertical="center"/>
    </xf>
    <xf numFmtId="0" fontId="26" fillId="11" borderId="0" xfId="0" applyFont="1" applyFill="1"/>
  </cellXfs>
  <cellStyles count="2">
    <cellStyle name="Normal" xfId="1" xr:uid="{269EB9A4-921D-4EB1-91BB-8DDB53AEE798}"/>
    <cellStyle name="標準" xfId="0" builtinId="0"/>
  </cellStyles>
  <dxfs count="10"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4532D"/>
      <rgbColor rgb="FF000080"/>
      <rgbColor rgb="FFB8952A"/>
      <rgbColor rgb="FF800080"/>
      <rgbColor rgb="FF059669"/>
      <rgbColor rgb="FFF3E8FF"/>
      <rgbColor rgb="FF475569"/>
      <rgbColor rgb="FF9999FF"/>
      <rgbColor rgb="FF7C3AED"/>
      <rgbColor rgb="FFFEF9C3"/>
      <rgbColor rgb="FFE0F2FE"/>
      <rgbColor rgb="FF660066"/>
      <rgbColor rgb="FFFF8080"/>
      <rgbColor rgb="FF0369A1"/>
      <rgbColor rgb="FFE2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F"/>
      <rgbColor rgb="FFD1FAE5"/>
      <rgbColor rgb="FFFEF3C7"/>
      <rgbColor rgb="FFF0F4F8"/>
      <rgbColor rgb="FFFEF2F2"/>
      <rgbColor rgb="FFEFF6FF"/>
      <rgbColor rgb="FFFEE2E2"/>
      <rgbColor rgb="FF2563EB"/>
      <rgbColor rgb="FF33CCCC"/>
      <rgbColor rgb="FF99CC00"/>
      <rgbColor rgb="FFFFCC00"/>
      <rgbColor rgb="FFF59E0B"/>
      <rgbColor rgb="FFFF6600"/>
      <rgbColor rgb="FF64748B"/>
      <rgbColor rgb="FF94A3B8"/>
      <rgbColor rgb="FF1E3A5F"/>
      <rgbColor rgb="FF16A34A"/>
      <rgbColor rgb="FF0E1E3A"/>
      <rgbColor rgb="FF0F172A"/>
      <rgbColor rgb="FFB45309"/>
      <rgbColor rgb="FF993366"/>
      <rgbColor rgb="FF334155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8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E1E3A"/>
  </sheetPr>
  <dimension ref="A1:F42"/>
  <sheetViews>
    <sheetView showGridLines="0" tabSelected="1" zoomScaleNormal="100" workbookViewId="0"/>
  </sheetViews>
  <sheetFormatPr defaultColWidth="0" defaultRowHeight="15" x14ac:dyDescent="0.25"/>
  <cols>
    <col min="1" max="1" width="37.140625" customWidth="1"/>
    <col min="2" max="6" width="25.7109375" customWidth="1"/>
    <col min="7" max="16384" width="8.7109375" hidden="1"/>
  </cols>
  <sheetData>
    <row r="1" spans="1:6" ht="21.75" customHeight="1" x14ac:dyDescent="0.25">
      <c r="A1" s="251" t="s">
        <v>184</v>
      </c>
      <c r="B1" s="249"/>
      <c r="C1" s="249"/>
      <c r="D1" s="249"/>
      <c r="E1" s="249"/>
      <c r="F1" s="249"/>
    </row>
    <row r="2" spans="1:6" ht="21.75" customHeight="1" x14ac:dyDescent="0.25">
      <c r="A2" s="250" t="s">
        <v>36</v>
      </c>
      <c r="B2" s="250"/>
      <c r="C2" s="250"/>
      <c r="D2" s="250"/>
      <c r="E2" s="250"/>
      <c r="F2" s="250"/>
    </row>
    <row r="4" spans="1:6" ht="21.75" customHeight="1" x14ac:dyDescent="0.25">
      <c r="A4" s="247" t="s">
        <v>193</v>
      </c>
      <c r="B4" s="247"/>
      <c r="C4" s="247"/>
      <c r="D4" s="247"/>
      <c r="E4" s="247"/>
      <c r="F4" s="247"/>
    </row>
    <row r="5" spans="1:6" ht="18" customHeight="1" x14ac:dyDescent="0.25">
      <c r="A5" s="24" t="s">
        <v>37</v>
      </c>
      <c r="B5" s="25"/>
      <c r="C5" s="22" t="s">
        <v>38</v>
      </c>
      <c r="D5" s="19"/>
      <c r="E5" s="31" t="s">
        <v>39</v>
      </c>
      <c r="F5" s="32"/>
    </row>
    <row r="6" spans="1:6" ht="37.5" customHeight="1" x14ac:dyDescent="0.25">
      <c r="A6" s="26">
        <f>CurrentPrice</f>
        <v>5500</v>
      </c>
      <c r="B6" s="27"/>
      <c r="C6" s="18">
        <f>ForwardPER</f>
        <v>18.307494999999999</v>
      </c>
      <c r="D6" s="20"/>
      <c r="E6" s="33">
        <f>'③ DCF'!C8</f>
        <v>5938.1427859684554</v>
      </c>
      <c r="F6" s="34"/>
    </row>
    <row r="7" spans="1:6" ht="18" customHeight="1" x14ac:dyDescent="0.25">
      <c r="A7" s="28" t="s">
        <v>40</v>
      </c>
      <c r="B7" s="29"/>
      <c r="C7" s="23" t="s">
        <v>76</v>
      </c>
      <c r="D7" s="21"/>
      <c r="E7" s="35"/>
      <c r="F7" s="36"/>
    </row>
    <row r="8" spans="1:6" ht="18" customHeight="1" x14ac:dyDescent="0.25">
      <c r="A8" s="37"/>
      <c r="B8" s="37"/>
      <c r="C8" s="37"/>
      <c r="D8" s="37"/>
      <c r="E8" s="37"/>
      <c r="F8" s="37"/>
    </row>
    <row r="9" spans="1:6" x14ac:dyDescent="0.25">
      <c r="A9" s="252" t="s">
        <v>41</v>
      </c>
      <c r="B9" s="252"/>
      <c r="C9" s="252"/>
      <c r="D9" s="252"/>
      <c r="E9" s="252"/>
      <c r="F9" s="252"/>
    </row>
    <row r="10" spans="1:6" x14ac:dyDescent="0.25">
      <c r="A10" s="256" t="s">
        <v>198</v>
      </c>
      <c r="B10" s="255"/>
      <c r="C10" s="255"/>
      <c r="D10" s="255"/>
      <c r="E10" s="255"/>
      <c r="F10" s="254"/>
    </row>
    <row r="11" spans="1:6" x14ac:dyDescent="0.25">
      <c r="A11" s="256" t="s">
        <v>197</v>
      </c>
      <c r="B11" s="259"/>
      <c r="C11" s="259"/>
      <c r="D11" s="259"/>
      <c r="E11" s="259"/>
      <c r="F11" s="254"/>
    </row>
    <row r="12" spans="1:6" x14ac:dyDescent="0.25">
      <c r="F12" s="253"/>
    </row>
    <row r="13" spans="1:6" x14ac:dyDescent="0.25">
      <c r="A13" s="245" t="s">
        <v>42</v>
      </c>
      <c r="B13" s="245" t="s">
        <v>24</v>
      </c>
      <c r="C13" s="245" t="s">
        <v>25</v>
      </c>
      <c r="D13" s="245" t="s">
        <v>26</v>
      </c>
      <c r="E13" s="243"/>
      <c r="F13" s="243"/>
    </row>
    <row r="14" spans="1:6" x14ac:dyDescent="0.25">
      <c r="A14" s="132" t="s">
        <v>188</v>
      </c>
      <c r="B14" s="226">
        <f>'② Multiples'!$D$6</f>
        <v>5107.1978990025673</v>
      </c>
      <c r="C14" s="226">
        <f>B14-CurrentPrice</f>
        <v>-392.80210099743272</v>
      </c>
      <c r="D14" s="240">
        <f>C14/CurrentPrice</f>
        <v>-7.1418563817715039E-2</v>
      </c>
      <c r="E14" s="241"/>
      <c r="F14" s="242"/>
    </row>
    <row r="15" spans="1:6" x14ac:dyDescent="0.25">
      <c r="A15" s="132" t="s">
        <v>189</v>
      </c>
      <c r="B15" s="226">
        <f>'② Multiples'!D12</f>
        <v>5156.6678019029914</v>
      </c>
      <c r="C15" s="226">
        <f>B15-CurrentPrice</f>
        <v>-343.33219809700859</v>
      </c>
      <c r="D15" s="240">
        <f>C15/CurrentPrice</f>
        <v>-6.2424036017637928E-2</v>
      </c>
      <c r="E15" s="241"/>
      <c r="F15" s="242"/>
    </row>
    <row r="16" spans="1:6" x14ac:dyDescent="0.25">
      <c r="A16" s="132" t="s">
        <v>190</v>
      </c>
      <c r="B16" s="239">
        <f>'③ DCF'!C8</f>
        <v>5938.1427859684554</v>
      </c>
      <c r="C16" s="226">
        <f>B16-CurrentPrice</f>
        <v>438.14278596845543</v>
      </c>
      <c r="D16" s="240">
        <f>C16/CurrentPrice</f>
        <v>7.966232472153735E-2</v>
      </c>
      <c r="E16" s="241"/>
      <c r="F16" s="242"/>
    </row>
    <row r="17" spans="1:6" x14ac:dyDescent="0.25">
      <c r="A17" s="132" t="s">
        <v>191</v>
      </c>
      <c r="B17" s="226">
        <f>'③ DCF'!D8</f>
        <v>6178.9749500094631</v>
      </c>
      <c r="C17" s="226">
        <f>B17-CurrentPrice</f>
        <v>678.9749500094631</v>
      </c>
      <c r="D17" s="240">
        <f>C17/CurrentPrice</f>
        <v>0.12344999091081148</v>
      </c>
      <c r="E17" s="241"/>
      <c r="F17" s="242"/>
    </row>
    <row r="18" spans="1:6" x14ac:dyDescent="0.25">
      <c r="A18" s="132" t="s">
        <v>43</v>
      </c>
      <c r="B18" s="226">
        <f>'① Assumptions'!C50</f>
        <v>5209</v>
      </c>
      <c r="C18" s="226">
        <f>B18-CurrentPrice</f>
        <v>-291</v>
      </c>
      <c r="D18" s="240">
        <f>C18/CurrentPrice</f>
        <v>-5.2909090909090913E-2</v>
      </c>
      <c r="E18" s="241"/>
      <c r="F18" s="242"/>
    </row>
    <row r="21" spans="1:6" ht="16.5" x14ac:dyDescent="0.25">
      <c r="A21" s="252" t="s">
        <v>199</v>
      </c>
      <c r="B21" s="252"/>
      <c r="C21" s="252"/>
      <c r="D21" s="252"/>
      <c r="E21" s="257"/>
      <c r="F21" s="257"/>
    </row>
    <row r="22" spans="1:6" x14ac:dyDescent="0.25">
      <c r="A22" s="246" t="s">
        <v>19</v>
      </c>
      <c r="B22" s="246" t="s">
        <v>44</v>
      </c>
      <c r="C22" s="246" t="s">
        <v>45</v>
      </c>
      <c r="D22" s="246" t="s">
        <v>46</v>
      </c>
    </row>
    <row r="23" spans="1:6" x14ac:dyDescent="0.25">
      <c r="A23" s="132" t="s">
        <v>185</v>
      </c>
      <c r="B23" s="226">
        <f>'Results&amp;Guidance'!F20</f>
        <v>800460</v>
      </c>
      <c r="C23" s="239">
        <f>'① Assumptions'!$C$20</f>
        <v>1100000</v>
      </c>
      <c r="D23" s="133">
        <f>C23/B23-1</f>
        <v>0.37420982934812486</v>
      </c>
    </row>
    <row r="24" spans="1:6" x14ac:dyDescent="0.25">
      <c r="A24" s="132" t="s">
        <v>186</v>
      </c>
      <c r="B24" s="226">
        <f>'Results&amp;Guidance'!F40</f>
        <v>218.6153812960211</v>
      </c>
      <c r="C24" s="239">
        <f>'① Assumptions'!C23</f>
        <v>300.42340582368041</v>
      </c>
      <c r="D24" s="133">
        <f t="shared" ref="D24:D25" si="0">C24/B24-1</f>
        <v>0.37420982934812486</v>
      </c>
    </row>
    <row r="25" spans="1:6" x14ac:dyDescent="0.25">
      <c r="A25" s="132" t="s">
        <v>187</v>
      </c>
      <c r="B25" s="226">
        <f>'① Assumptions'!C11</f>
        <v>110</v>
      </c>
      <c r="C25" s="239">
        <f>'① Assumptions'!C22</f>
        <v>125</v>
      </c>
      <c r="D25" s="133">
        <f t="shared" si="0"/>
        <v>0.13636363636363646</v>
      </c>
    </row>
    <row r="28" spans="1:6" x14ac:dyDescent="0.25">
      <c r="A28" s="252" t="s">
        <v>47</v>
      </c>
      <c r="B28" s="252"/>
      <c r="C28" s="252"/>
      <c r="D28" s="257"/>
      <c r="E28" s="257"/>
      <c r="F28" s="257"/>
    </row>
    <row r="29" spans="1:6" x14ac:dyDescent="0.25">
      <c r="A29" s="245" t="s">
        <v>48</v>
      </c>
      <c r="B29" s="245" t="s">
        <v>49</v>
      </c>
      <c r="C29" s="245" t="s">
        <v>25</v>
      </c>
      <c r="D29" s="241"/>
    </row>
    <row r="30" spans="1:6" x14ac:dyDescent="0.25">
      <c r="A30" s="132" t="s">
        <v>50</v>
      </c>
      <c r="B30" s="226">
        <f>'① Assumptions'!C50</f>
        <v>5209</v>
      </c>
      <c r="C30" s="240">
        <f>B30/CurrentPrice-1</f>
        <v>-5.2909090909090906E-2</v>
      </c>
      <c r="D30" s="241"/>
      <c r="E30" s="143"/>
      <c r="F30" s="143"/>
    </row>
    <row r="31" spans="1:6" x14ac:dyDescent="0.25">
      <c r="A31" s="132" t="s">
        <v>51</v>
      </c>
      <c r="B31" s="226">
        <f>'① Assumptions'!C53</f>
        <v>5518</v>
      </c>
      <c r="C31" s="240">
        <f>B31/CurrentPrice-1</f>
        <v>3.272727272727316E-3</v>
      </c>
      <c r="D31" s="241"/>
      <c r="E31" s="143"/>
      <c r="F31" s="143"/>
    </row>
    <row r="32" spans="1:6" x14ac:dyDescent="0.25">
      <c r="A32" s="132" t="s">
        <v>52</v>
      </c>
      <c r="B32" s="226">
        <f>'① Assumptions'!C51</f>
        <v>7000</v>
      </c>
      <c r="C32" s="240">
        <f>B32/CurrentPrice-1</f>
        <v>0.27272727272727271</v>
      </c>
      <c r="D32" s="241"/>
      <c r="E32" s="143"/>
      <c r="F32" s="143"/>
    </row>
    <row r="33" spans="1:6" x14ac:dyDescent="0.25">
      <c r="A33" s="132" t="s">
        <v>53</v>
      </c>
      <c r="B33" s="226">
        <f>'① Assumptions'!C52</f>
        <v>3281</v>
      </c>
      <c r="C33" s="240">
        <f>B33/CurrentPrice-1</f>
        <v>-0.4034545454545454</v>
      </c>
      <c r="D33" s="241"/>
      <c r="E33" s="143"/>
      <c r="F33" s="143"/>
    </row>
    <row r="34" spans="1:6" x14ac:dyDescent="0.25">
      <c r="A34" s="132" t="s">
        <v>54</v>
      </c>
      <c r="B34" s="226">
        <v>4820</v>
      </c>
      <c r="C34" s="240">
        <f>B34/CurrentPrice-1</f>
        <v>-0.12363636363636366</v>
      </c>
      <c r="D34" s="241"/>
      <c r="E34" s="143"/>
      <c r="F34" s="143"/>
    </row>
    <row r="37" spans="1:6" x14ac:dyDescent="0.25">
      <c r="A37" s="252" t="s">
        <v>55</v>
      </c>
      <c r="B37" s="252"/>
      <c r="C37" s="252"/>
      <c r="D37" s="252"/>
      <c r="E37" s="252"/>
      <c r="F37" s="252"/>
    </row>
    <row r="38" spans="1:6" x14ac:dyDescent="0.25">
      <c r="A38" s="244" t="s">
        <v>56</v>
      </c>
      <c r="B38" s="244" t="s">
        <v>57</v>
      </c>
      <c r="C38" s="244" t="s">
        <v>58</v>
      </c>
      <c r="D38" s="244" t="s">
        <v>59</v>
      </c>
      <c r="E38" s="258" t="s">
        <v>192</v>
      </c>
      <c r="F38" s="244"/>
    </row>
    <row r="39" spans="1:6" ht="24" x14ac:dyDescent="0.25">
      <c r="A39" s="3" t="s">
        <v>60</v>
      </c>
      <c r="B39" s="10" t="s">
        <v>61</v>
      </c>
      <c r="C39" s="4" t="s">
        <v>62</v>
      </c>
      <c r="D39" s="11" t="s">
        <v>63</v>
      </c>
      <c r="E39" s="12" t="s">
        <v>64</v>
      </c>
      <c r="F39" s="8"/>
    </row>
    <row r="40" spans="1:6" ht="24" x14ac:dyDescent="0.25">
      <c r="A40" s="5" t="s">
        <v>65</v>
      </c>
      <c r="B40" s="13" t="s">
        <v>66</v>
      </c>
      <c r="C40" s="6" t="s">
        <v>67</v>
      </c>
      <c r="D40" s="14" t="s">
        <v>68</v>
      </c>
      <c r="E40" s="15" t="s">
        <v>69</v>
      </c>
      <c r="F40" s="9"/>
    </row>
    <row r="41" spans="1:6" ht="24" x14ac:dyDescent="0.25">
      <c r="A41" s="3" t="s">
        <v>70</v>
      </c>
      <c r="B41" s="10" t="s">
        <v>71</v>
      </c>
      <c r="C41" s="4" t="s">
        <v>62</v>
      </c>
      <c r="D41" s="11" t="s">
        <v>72</v>
      </c>
      <c r="E41" s="12" t="s">
        <v>73</v>
      </c>
      <c r="F41" s="8"/>
    </row>
    <row r="42" spans="1:6" x14ac:dyDescent="0.25">
      <c r="A42" s="16" t="s">
        <v>74</v>
      </c>
      <c r="B42" s="16"/>
      <c r="C42" s="16"/>
      <c r="D42" s="16"/>
      <c r="E42" s="16"/>
      <c r="F42" s="16"/>
    </row>
  </sheetData>
  <phoneticPr fontId="19"/>
  <conditionalFormatting sqref="D14:D18 C30:C34">
    <cfRule type="cellIs" dxfId="9" priority="6" operator="greaterThan">
      <formula>0</formula>
    </cfRule>
    <cfRule type="cellIs" dxfId="8" priority="7" operator="lessThan">
      <formula>0</formula>
    </cfRule>
  </conditionalFormatting>
  <conditionalFormatting sqref="D23:D25">
    <cfRule type="cellIs" dxfId="7" priority="4" operator="greaterThan">
      <formula>0</formula>
    </cfRule>
    <cfRule type="cellIs" dxfId="6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634D-FF6C-4127-AECA-84C2C68051C8}">
  <sheetPr>
    <tabColor theme="0" tint="-0.499984740745262"/>
  </sheetPr>
  <dimension ref="A1:XFC44"/>
  <sheetViews>
    <sheetView showGridLines="0" zoomScaleNormal="100" workbookViewId="0">
      <selection activeCell="E1" sqref="E1"/>
    </sheetView>
  </sheetViews>
  <sheetFormatPr defaultColWidth="0" defaultRowHeight="15" x14ac:dyDescent="0.25"/>
  <cols>
    <col min="1" max="1" width="3.140625" customWidth="1"/>
    <col min="2" max="2" width="57.7109375" customWidth="1"/>
    <col min="3" max="6" width="15.7109375" customWidth="1"/>
    <col min="7" max="7" width="71.5703125" bestFit="1" customWidth="1"/>
    <col min="8" max="16383" width="8.7109375" hidden="1"/>
    <col min="16384" max="16384" width="3.140625" hidden="1"/>
  </cols>
  <sheetData>
    <row r="1" spans="1:7" ht="21.75" customHeight="1" x14ac:dyDescent="0.25">
      <c r="A1" s="260" t="s">
        <v>182</v>
      </c>
      <c r="B1" s="261"/>
      <c r="C1" s="261"/>
      <c r="D1" s="261"/>
      <c r="E1" s="261"/>
      <c r="F1" s="261"/>
      <c r="G1" s="261"/>
    </row>
    <row r="2" spans="1:7" ht="21.75" customHeight="1" x14ac:dyDescent="0.25">
      <c r="A2" s="262" t="s">
        <v>0</v>
      </c>
      <c r="B2" s="262"/>
      <c r="C2" s="262"/>
      <c r="D2" s="262"/>
      <c r="E2" s="262"/>
      <c r="F2" s="262"/>
      <c r="G2" s="262"/>
    </row>
    <row r="3" spans="1:7" x14ac:dyDescent="0.25">
      <c r="A3" s="263"/>
      <c r="B3" s="263"/>
      <c r="C3" s="263"/>
      <c r="D3" s="264"/>
      <c r="E3" s="264"/>
      <c r="F3" s="264"/>
      <c r="G3" s="265"/>
    </row>
    <row r="4" spans="1:7" x14ac:dyDescent="0.25">
      <c r="A4" s="167" t="s">
        <v>135</v>
      </c>
      <c r="B4" s="167"/>
      <c r="C4" s="167"/>
      <c r="D4" s="168"/>
      <c r="E4" s="168"/>
      <c r="F4" s="168"/>
      <c r="G4" s="169"/>
    </row>
    <row r="5" spans="1:7" x14ac:dyDescent="0.25">
      <c r="A5" s="38"/>
      <c r="B5" s="207"/>
      <c r="C5" s="207" t="s">
        <v>80</v>
      </c>
      <c r="D5" s="98" t="s">
        <v>136</v>
      </c>
      <c r="G5" s="39"/>
    </row>
    <row r="6" spans="1:7" x14ac:dyDescent="0.25">
      <c r="A6" s="38"/>
      <c r="B6" s="200" t="s">
        <v>96</v>
      </c>
      <c r="C6" s="200" t="s">
        <v>108</v>
      </c>
      <c r="D6" s="210">
        <f>F35</f>
        <v>5317</v>
      </c>
      <c r="G6" s="39"/>
    </row>
    <row r="7" spans="1:7" x14ac:dyDescent="0.25">
      <c r="A7" s="38"/>
      <c r="B7" s="194" t="s">
        <v>117</v>
      </c>
      <c r="C7" s="194" t="s">
        <v>119</v>
      </c>
      <c r="D7" s="209">
        <f t="shared" ref="D7:D14" si="0">F36</f>
        <v>3661499</v>
      </c>
      <c r="G7" s="39"/>
    </row>
    <row r="8" spans="1:7" x14ac:dyDescent="0.25">
      <c r="A8" s="38"/>
      <c r="B8" s="194" t="s">
        <v>134</v>
      </c>
      <c r="C8" s="132" t="s">
        <v>90</v>
      </c>
      <c r="D8" s="209">
        <f t="shared" si="0"/>
        <v>19468190.182999998</v>
      </c>
      <c r="G8" s="39"/>
    </row>
    <row r="9" spans="1:7" x14ac:dyDescent="0.25">
      <c r="A9" s="38"/>
      <c r="B9" s="132" t="s">
        <v>140</v>
      </c>
      <c r="C9" s="132" t="s">
        <v>108</v>
      </c>
      <c r="D9" s="209">
        <f t="shared" si="0"/>
        <v>110</v>
      </c>
      <c r="G9" s="39"/>
    </row>
    <row r="10" spans="1:7" x14ac:dyDescent="0.25">
      <c r="A10" s="38"/>
      <c r="B10" s="208" t="s">
        <v>112</v>
      </c>
      <c r="C10" s="208" t="s">
        <v>113</v>
      </c>
      <c r="D10" s="211">
        <f t="shared" si="0"/>
        <v>2.0688358096671054E-2</v>
      </c>
      <c r="G10" s="39"/>
    </row>
    <row r="11" spans="1:7" x14ac:dyDescent="0.25">
      <c r="A11" s="38"/>
      <c r="B11" s="208" t="s">
        <v>93</v>
      </c>
      <c r="C11" s="208" t="s">
        <v>101</v>
      </c>
      <c r="D11" s="209">
        <f t="shared" si="0"/>
        <v>218.6153812960211</v>
      </c>
      <c r="G11" s="39"/>
    </row>
    <row r="12" spans="1:7" x14ac:dyDescent="0.25">
      <c r="A12" s="38"/>
      <c r="B12" s="208" t="s">
        <v>107</v>
      </c>
      <c r="C12" s="208" t="s">
        <v>101</v>
      </c>
      <c r="D12" s="209">
        <f t="shared" si="0"/>
        <v>2578.3339009514957</v>
      </c>
      <c r="G12" s="39"/>
    </row>
    <row r="13" spans="1:7" x14ac:dyDescent="0.25">
      <c r="A13" s="38"/>
      <c r="B13" s="208" t="s">
        <v>98</v>
      </c>
      <c r="C13" s="208" t="s">
        <v>100</v>
      </c>
      <c r="D13" s="213">
        <f t="shared" si="0"/>
        <v>24.321253008270247</v>
      </c>
      <c r="G13" s="39"/>
    </row>
    <row r="14" spans="1:7" x14ac:dyDescent="0.25">
      <c r="A14" s="38"/>
      <c r="B14" s="208" t="s">
        <v>115</v>
      </c>
      <c r="C14" s="208" t="s">
        <v>100</v>
      </c>
      <c r="D14" s="212">
        <f t="shared" si="0"/>
        <v>2.0621844199612163</v>
      </c>
      <c r="G14" s="39"/>
    </row>
    <row r="15" spans="1:7" x14ac:dyDescent="0.25">
      <c r="A15" s="38"/>
      <c r="B15" s="89"/>
      <c r="C15" s="89"/>
      <c r="D15" s="89"/>
      <c r="G15" s="39"/>
    </row>
    <row r="16" spans="1:7" x14ac:dyDescent="0.25">
      <c r="A16" s="170" t="s">
        <v>132</v>
      </c>
      <c r="B16" s="171"/>
      <c r="C16" s="171"/>
      <c r="D16" s="171"/>
      <c r="E16" s="168"/>
      <c r="F16" s="168"/>
      <c r="G16" s="169"/>
    </row>
    <row r="17" spans="1:7" x14ac:dyDescent="0.25">
      <c r="A17" s="91"/>
      <c r="B17" s="92"/>
      <c r="C17" s="92"/>
      <c r="D17" s="93" t="s">
        <v>77</v>
      </c>
      <c r="E17" s="93" t="s">
        <v>78</v>
      </c>
      <c r="F17" s="93" t="s">
        <v>79</v>
      </c>
      <c r="G17" s="94"/>
    </row>
    <row r="18" spans="1:7" ht="30" customHeight="1" x14ac:dyDescent="0.25">
      <c r="A18" s="95"/>
      <c r="B18" s="95"/>
      <c r="C18" s="95" t="s">
        <v>80</v>
      </c>
      <c r="D18" s="96" t="s">
        <v>94</v>
      </c>
      <c r="E18" s="96" t="s">
        <v>94</v>
      </c>
      <c r="F18" s="96" t="s">
        <v>94</v>
      </c>
      <c r="G18" s="97" t="s">
        <v>121</v>
      </c>
    </row>
    <row r="19" spans="1:7" ht="18" customHeight="1" x14ac:dyDescent="0.25">
      <c r="A19" s="56" t="s">
        <v>102</v>
      </c>
      <c r="B19" s="57"/>
      <c r="C19" s="57"/>
      <c r="D19" s="90"/>
      <c r="E19" s="58"/>
      <c r="F19" s="58"/>
      <c r="G19" s="59"/>
    </row>
    <row r="20" spans="1:7" x14ac:dyDescent="0.25">
      <c r="A20" s="1"/>
      <c r="B20" s="1" t="s">
        <v>91</v>
      </c>
      <c r="C20" s="1" t="s">
        <v>81</v>
      </c>
      <c r="D20" s="63">
        <v>964034</v>
      </c>
      <c r="E20" s="64">
        <v>950709</v>
      </c>
      <c r="F20" s="64">
        <v>800460</v>
      </c>
      <c r="G20" s="77" t="s">
        <v>122</v>
      </c>
    </row>
    <row r="21" spans="1:7" x14ac:dyDescent="0.25">
      <c r="A21" s="60" t="s">
        <v>103</v>
      </c>
      <c r="B21" s="61"/>
      <c r="C21" s="61"/>
      <c r="D21" s="65"/>
      <c r="E21" s="65"/>
      <c r="F21" s="65"/>
      <c r="G21" s="78"/>
    </row>
    <row r="22" spans="1:7" x14ac:dyDescent="0.25">
      <c r="A22" s="1"/>
      <c r="B22" s="1" t="s">
        <v>86</v>
      </c>
      <c r="C22" s="1" t="s">
        <v>81</v>
      </c>
      <c r="D22" s="64">
        <v>1347380</v>
      </c>
      <c r="E22" s="64">
        <v>1658349</v>
      </c>
      <c r="F22" s="64">
        <v>1490041</v>
      </c>
      <c r="G22" s="77"/>
    </row>
    <row r="23" spans="1:7" x14ac:dyDescent="0.25">
      <c r="A23" s="1"/>
      <c r="B23" s="43" t="s">
        <v>120</v>
      </c>
      <c r="C23" s="1" t="s">
        <v>81</v>
      </c>
      <c r="D23" s="64">
        <v>1178500</v>
      </c>
      <c r="E23" s="64">
        <v>983700</v>
      </c>
      <c r="F23" s="64">
        <v>1048099.9999999999</v>
      </c>
      <c r="G23" s="77" t="s">
        <v>122</v>
      </c>
    </row>
    <row r="24" spans="1:7" x14ac:dyDescent="0.25">
      <c r="A24" s="1"/>
      <c r="B24" s="73" t="s">
        <v>123</v>
      </c>
      <c r="C24" s="74" t="s">
        <v>113</v>
      </c>
      <c r="D24" s="75">
        <v>0</v>
      </c>
      <c r="E24" s="76">
        <f>E23/D23-1</f>
        <v>-0.1652948663555367</v>
      </c>
      <c r="F24" s="76">
        <f>F23/E23-1</f>
        <v>6.546711395750715E-2</v>
      </c>
      <c r="G24" s="77" t="s">
        <v>124</v>
      </c>
    </row>
    <row r="25" spans="1:7" x14ac:dyDescent="0.25">
      <c r="A25" s="1"/>
      <c r="B25" s="1" t="s">
        <v>87</v>
      </c>
      <c r="C25" s="1" t="s">
        <v>81</v>
      </c>
      <c r="D25" s="64">
        <v>-205761</v>
      </c>
      <c r="E25" s="64">
        <v>-273945</v>
      </c>
      <c r="F25" s="64">
        <v>-448584</v>
      </c>
      <c r="G25" s="77"/>
    </row>
    <row r="26" spans="1:7" x14ac:dyDescent="0.25">
      <c r="A26" s="1"/>
      <c r="B26" s="1" t="s">
        <v>88</v>
      </c>
      <c r="C26" s="1" t="s">
        <v>81</v>
      </c>
      <c r="D26" s="64">
        <f>D22+D25</f>
        <v>1141619</v>
      </c>
      <c r="E26" s="64">
        <f>E22+E25</f>
        <v>1384404</v>
      </c>
      <c r="F26" s="64">
        <f>F22+F25</f>
        <v>1041457</v>
      </c>
      <c r="G26" s="77"/>
    </row>
    <row r="27" spans="1:7" x14ac:dyDescent="0.25">
      <c r="A27" s="60" t="s">
        <v>104</v>
      </c>
      <c r="B27" s="60"/>
      <c r="C27" s="60"/>
      <c r="D27" s="66"/>
      <c r="E27" s="67"/>
      <c r="F27" s="67"/>
      <c r="G27" s="79"/>
    </row>
    <row r="28" spans="1:7" x14ac:dyDescent="0.25">
      <c r="A28" s="1"/>
      <c r="B28" s="1" t="s">
        <v>105</v>
      </c>
      <c r="C28" s="1" t="s">
        <v>81</v>
      </c>
      <c r="D28" s="68">
        <v>23459572</v>
      </c>
      <c r="E28" s="68">
        <v>21496104</v>
      </c>
      <c r="F28" s="68">
        <v>24151695</v>
      </c>
      <c r="G28" s="80"/>
    </row>
    <row r="29" spans="1:7" x14ac:dyDescent="0.25">
      <c r="A29" s="42"/>
      <c r="B29" s="55" t="s">
        <v>109</v>
      </c>
      <c r="C29" s="45" t="s">
        <v>90</v>
      </c>
      <c r="D29" s="68">
        <v>1251550</v>
      </c>
      <c r="E29" s="68">
        <v>1536624</v>
      </c>
      <c r="F29" s="68">
        <v>1841464</v>
      </c>
      <c r="G29" s="80"/>
    </row>
    <row r="30" spans="1:7" x14ac:dyDescent="0.25">
      <c r="A30" s="1"/>
      <c r="B30" s="1" t="s">
        <v>106</v>
      </c>
      <c r="C30" s="1" t="s">
        <v>81</v>
      </c>
      <c r="D30" s="68">
        <v>10094829</v>
      </c>
      <c r="E30" s="68">
        <v>10154322</v>
      </c>
      <c r="F30" s="68">
        <v>10250574</v>
      </c>
      <c r="G30" s="77"/>
    </row>
    <row r="31" spans="1:7" x14ac:dyDescent="0.25">
      <c r="A31" s="1"/>
      <c r="B31" s="54" t="s">
        <v>84</v>
      </c>
      <c r="C31" s="1" t="s">
        <v>81</v>
      </c>
      <c r="D31" s="68">
        <v>9043867</v>
      </c>
      <c r="E31" s="68">
        <v>9368714</v>
      </c>
      <c r="F31" s="68">
        <v>9440567</v>
      </c>
      <c r="G31" s="77"/>
    </row>
    <row r="32" spans="1:7" x14ac:dyDescent="0.25">
      <c r="A32" s="42"/>
      <c r="B32" s="44" t="s">
        <v>89</v>
      </c>
      <c r="C32" s="45" t="s">
        <v>90</v>
      </c>
      <c r="D32" s="68">
        <v>3782300</v>
      </c>
      <c r="E32" s="68">
        <v>3047200</v>
      </c>
      <c r="F32" s="68">
        <v>3888200</v>
      </c>
      <c r="G32" s="80"/>
    </row>
    <row r="33" spans="1:7" x14ac:dyDescent="0.25">
      <c r="D33" s="69"/>
      <c r="E33" s="69"/>
      <c r="F33" s="69"/>
      <c r="G33" s="81"/>
    </row>
    <row r="34" spans="1:7" x14ac:dyDescent="0.25">
      <c r="A34" s="62" t="s">
        <v>110</v>
      </c>
      <c r="B34" s="62"/>
      <c r="C34" s="62"/>
      <c r="D34" s="70"/>
      <c r="E34" s="70"/>
      <c r="F34" s="70"/>
      <c r="G34" s="82"/>
    </row>
    <row r="35" spans="1:7" x14ac:dyDescent="0.25">
      <c r="A35" s="47"/>
      <c r="B35" s="30" t="s">
        <v>96</v>
      </c>
      <c r="C35" s="30" t="s">
        <v>108</v>
      </c>
      <c r="D35" s="85">
        <v>3487</v>
      </c>
      <c r="E35" s="85">
        <v>2626.5</v>
      </c>
      <c r="F35" s="85">
        <v>5317</v>
      </c>
      <c r="G35" s="53" t="s">
        <v>126</v>
      </c>
    </row>
    <row r="36" spans="1:7" x14ac:dyDescent="0.25">
      <c r="A36" s="46"/>
      <c r="B36" s="44" t="s">
        <v>117</v>
      </c>
      <c r="C36" s="44" t="s">
        <v>119</v>
      </c>
      <c r="D36" s="68">
        <v>4097859</v>
      </c>
      <c r="E36" s="68">
        <v>3977844</v>
      </c>
      <c r="F36" s="68">
        <v>3661499</v>
      </c>
      <c r="G36" s="80" t="s">
        <v>127</v>
      </c>
    </row>
    <row r="37" spans="1:7" x14ac:dyDescent="0.25">
      <c r="A37" s="46"/>
      <c r="B37" s="44" t="s">
        <v>134</v>
      </c>
      <c r="C37" s="45" t="s">
        <v>90</v>
      </c>
      <c r="D37" s="68">
        <f>D35*D36/10^3</f>
        <v>14289234.333000001</v>
      </c>
      <c r="E37" s="68">
        <f t="shared" ref="E37:F37" si="1">E35*E36/10^3</f>
        <v>10447807.266000001</v>
      </c>
      <c r="F37" s="68">
        <f t="shared" si="1"/>
        <v>19468190.182999998</v>
      </c>
      <c r="G37" s="80"/>
    </row>
    <row r="38" spans="1:7" x14ac:dyDescent="0.25">
      <c r="A38" s="99"/>
      <c r="B38" s="1" t="s">
        <v>140</v>
      </c>
      <c r="C38" s="1" t="s">
        <v>108</v>
      </c>
      <c r="D38" s="100">
        <v>70</v>
      </c>
      <c r="E38" s="100">
        <v>100</v>
      </c>
      <c r="F38" s="100">
        <v>110</v>
      </c>
      <c r="G38" s="77" t="s">
        <v>122</v>
      </c>
    </row>
    <row r="39" spans="1:7" s="50" customFormat="1" ht="14.25" x14ac:dyDescent="0.2">
      <c r="A39" s="48"/>
      <c r="B39" s="49" t="s">
        <v>112</v>
      </c>
      <c r="C39" s="49" t="s">
        <v>113</v>
      </c>
      <c r="D39" s="71">
        <f>D38/D35</f>
        <v>2.0074562661313449E-2</v>
      </c>
      <c r="E39" s="71">
        <f>E38/E35</f>
        <v>3.8073481819912429E-2</v>
      </c>
      <c r="F39" s="71">
        <f>F38/F35</f>
        <v>2.0688358096671054E-2</v>
      </c>
      <c r="G39" s="83"/>
    </row>
    <row r="40" spans="1:7" s="50" customFormat="1" ht="14.25" x14ac:dyDescent="0.2">
      <c r="A40" s="48"/>
      <c r="B40" s="49" t="s">
        <v>93</v>
      </c>
      <c r="C40" s="49" t="s">
        <v>101</v>
      </c>
      <c r="D40" s="68">
        <f>D20*10^3/D36</f>
        <v>235.25309191946332</v>
      </c>
      <c r="E40" s="68">
        <f>E20*10^3/E36</f>
        <v>239.00107696531086</v>
      </c>
      <c r="F40" s="68">
        <f>F20*10^3/F36</f>
        <v>218.6153812960211</v>
      </c>
      <c r="G40" s="83"/>
    </row>
    <row r="41" spans="1:7" s="50" customFormat="1" ht="14.25" x14ac:dyDescent="0.2">
      <c r="A41" s="48"/>
      <c r="B41" s="49" t="s">
        <v>107</v>
      </c>
      <c r="C41" s="49" t="s">
        <v>101</v>
      </c>
      <c r="D41" s="68">
        <f>D31*10^3/D36</f>
        <v>2206.9736904076008</v>
      </c>
      <c r="E41" s="68">
        <f>E31*10^3/E36</f>
        <v>2355.2240862135368</v>
      </c>
      <c r="F41" s="68">
        <f>F31*10^3/F36</f>
        <v>2578.3339009514957</v>
      </c>
      <c r="G41" s="83"/>
    </row>
    <row r="42" spans="1:7" s="50" customFormat="1" x14ac:dyDescent="0.25">
      <c r="A42" s="51"/>
      <c r="B42" s="52" t="s">
        <v>98</v>
      </c>
      <c r="C42" s="52" t="s">
        <v>100</v>
      </c>
      <c r="D42" s="72">
        <f>D35/D40</f>
        <v>14.822334412479227</v>
      </c>
      <c r="E42" s="72">
        <f>E35/E40</f>
        <v>10.989490228871295</v>
      </c>
      <c r="F42" s="72">
        <f>F35/F40</f>
        <v>24.321253008270247</v>
      </c>
      <c r="G42" s="84"/>
    </row>
    <row r="43" spans="1:7" s="50" customFormat="1" x14ac:dyDescent="0.25">
      <c r="A43" s="51"/>
      <c r="B43" s="52" t="s">
        <v>115</v>
      </c>
      <c r="C43" s="52" t="s">
        <v>100</v>
      </c>
      <c r="D43" s="72">
        <f>D35/D41</f>
        <v>1.5799916488157111</v>
      </c>
      <c r="E43" s="72">
        <f>E35/E41</f>
        <v>1.1151805110071671</v>
      </c>
      <c r="F43" s="72">
        <f>F35/F41</f>
        <v>2.0621844199612163</v>
      </c>
      <c r="G43" s="83"/>
    </row>
    <row r="44" spans="1:7" x14ac:dyDescent="0.25">
      <c r="B44" s="40"/>
      <c r="C44" s="40"/>
      <c r="D44" s="41"/>
      <c r="E44" s="41"/>
      <c r="F44" s="41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XFD54"/>
  <sheetViews>
    <sheetView showGridLines="0" zoomScaleNormal="100" workbookViewId="0">
      <pane ySplit="3" topLeftCell="A4" activePane="bottomLeft" state="frozen"/>
      <selection pane="bottomLeft" activeCell="B4" sqref="B4"/>
    </sheetView>
  </sheetViews>
  <sheetFormatPr defaultColWidth="0" defaultRowHeight="15" x14ac:dyDescent="0.25"/>
  <cols>
    <col min="1" max="1" width="45" customWidth="1"/>
    <col min="2" max="3" width="20.7109375" customWidth="1"/>
    <col min="4" max="4" width="20.7109375" style="50" customWidth="1"/>
    <col min="5" max="5" width="57.7109375" customWidth="1"/>
    <col min="6" max="10" width="8.7109375" hidden="1" customWidth="1"/>
    <col min="11" max="16383" width="8.7109375" hidden="1"/>
    <col min="16384" max="16384" width="6.28515625" hidden="1" customWidth="1"/>
  </cols>
  <sheetData>
    <row r="1" spans="1:8" s="264" customFormat="1" ht="21.75" customHeight="1" x14ac:dyDescent="0.25">
      <c r="A1" s="260" t="s">
        <v>165</v>
      </c>
      <c r="B1" s="261"/>
      <c r="C1" s="261"/>
      <c r="D1" s="261"/>
      <c r="E1" s="261"/>
    </row>
    <row r="2" spans="1:8" s="264" customFormat="1" ht="21.75" customHeight="1" x14ac:dyDescent="0.25">
      <c r="A2" s="262" t="s">
        <v>0</v>
      </c>
      <c r="B2" s="262"/>
      <c r="C2" s="262"/>
      <c r="D2" s="262"/>
      <c r="E2" s="262"/>
    </row>
    <row r="3" spans="1:8" s="264" customFormat="1" x14ac:dyDescent="0.25">
      <c r="D3" s="266"/>
    </row>
    <row r="4" spans="1:8" x14ac:dyDescent="0.25">
      <c r="A4" s="138" t="s">
        <v>156</v>
      </c>
      <c r="B4" s="138"/>
      <c r="C4" s="138"/>
      <c r="D4" s="138"/>
      <c r="E4" s="138"/>
      <c r="F4" s="138"/>
      <c r="G4" s="138"/>
      <c r="H4" s="138"/>
    </row>
    <row r="5" spans="1:8" x14ac:dyDescent="0.25">
      <c r="A5" s="189"/>
      <c r="B5" s="189"/>
      <c r="C5" s="189"/>
      <c r="D5" s="189"/>
      <c r="E5" s="189"/>
      <c r="F5" s="188"/>
      <c r="G5" s="188"/>
      <c r="H5" s="188"/>
    </row>
    <row r="6" spans="1:8" x14ac:dyDescent="0.25">
      <c r="A6" s="199"/>
      <c r="B6" s="199" t="s">
        <v>80</v>
      </c>
      <c r="C6" s="199" t="s">
        <v>20</v>
      </c>
      <c r="D6" s="87"/>
      <c r="E6" s="103"/>
      <c r="F6" s="104"/>
    </row>
    <row r="7" spans="1:8" x14ac:dyDescent="0.25">
      <c r="A7" s="191" t="s">
        <v>137</v>
      </c>
      <c r="B7" s="192"/>
      <c r="C7" s="193"/>
      <c r="D7" s="187"/>
      <c r="E7" s="113"/>
      <c r="F7" s="114"/>
    </row>
    <row r="8" spans="1:8" x14ac:dyDescent="0.25">
      <c r="A8" s="132" t="s">
        <v>95</v>
      </c>
      <c r="B8" s="132" t="s">
        <v>82</v>
      </c>
      <c r="C8" s="195">
        <f>'Results&amp;Guidance'!D6</f>
        <v>5317</v>
      </c>
      <c r="D8" s="187"/>
      <c r="E8" s="116"/>
      <c r="F8" s="115"/>
    </row>
    <row r="9" spans="1:8" x14ac:dyDescent="0.25">
      <c r="A9" s="132" t="s">
        <v>116</v>
      </c>
      <c r="B9" s="132" t="s">
        <v>118</v>
      </c>
      <c r="C9" s="195">
        <f>'Results&amp;Guidance'!D7</f>
        <v>3661499</v>
      </c>
      <c r="D9" s="187"/>
      <c r="E9" s="116"/>
      <c r="F9" s="115"/>
    </row>
    <row r="10" spans="1:8" x14ac:dyDescent="0.25">
      <c r="A10" s="194" t="s">
        <v>133</v>
      </c>
      <c r="B10" s="194" t="s">
        <v>81</v>
      </c>
      <c r="C10" s="195">
        <f>'Results&amp;Guidance'!D8</f>
        <v>19468190.182999998</v>
      </c>
      <c r="D10" s="187"/>
      <c r="E10" s="116"/>
      <c r="F10" s="115"/>
    </row>
    <row r="11" spans="1:8" x14ac:dyDescent="0.25">
      <c r="A11" s="132" t="s">
        <v>140</v>
      </c>
      <c r="B11" s="132" t="s">
        <v>82</v>
      </c>
      <c r="C11" s="195">
        <f>'Results&amp;Guidance'!D9</f>
        <v>110</v>
      </c>
      <c r="D11" s="187"/>
      <c r="E11" s="116"/>
      <c r="F11" s="115"/>
    </row>
    <row r="12" spans="1:8" x14ac:dyDescent="0.25">
      <c r="A12" s="132" t="s">
        <v>111</v>
      </c>
      <c r="B12" s="132" t="s">
        <v>83</v>
      </c>
      <c r="C12" s="196">
        <f>'Results&amp;Guidance'!D10</f>
        <v>2.0688358096671054E-2</v>
      </c>
      <c r="D12" s="187"/>
      <c r="E12" s="116"/>
      <c r="F12" s="115"/>
    </row>
    <row r="13" spans="1:8" x14ac:dyDescent="0.25">
      <c r="A13" s="132" t="s">
        <v>92</v>
      </c>
      <c r="B13" s="132" t="s">
        <v>101</v>
      </c>
      <c r="C13" s="195">
        <f>'Results&amp;Guidance'!D11</f>
        <v>218.6153812960211</v>
      </c>
      <c r="D13" s="187"/>
      <c r="E13" s="116"/>
      <c r="F13" s="115"/>
    </row>
    <row r="14" spans="1:8" x14ac:dyDescent="0.25">
      <c r="A14" s="132" t="s">
        <v>85</v>
      </c>
      <c r="B14" s="132" t="s">
        <v>101</v>
      </c>
      <c r="C14" s="195">
        <f>'Results&amp;Guidance'!D12</f>
        <v>2578.3339009514957</v>
      </c>
      <c r="D14" s="187"/>
      <c r="E14" s="116"/>
      <c r="F14" s="115"/>
    </row>
    <row r="15" spans="1:8" x14ac:dyDescent="0.25">
      <c r="A15" s="132" t="s">
        <v>97</v>
      </c>
      <c r="B15" s="132" t="s">
        <v>99</v>
      </c>
      <c r="C15" s="197">
        <f>'Results&amp;Guidance'!D13</f>
        <v>24.321253008270247</v>
      </c>
      <c r="D15" s="187"/>
      <c r="E15" s="116"/>
      <c r="F15" s="115"/>
    </row>
    <row r="16" spans="1:8" x14ac:dyDescent="0.25">
      <c r="A16" s="132" t="s">
        <v>114</v>
      </c>
      <c r="B16" s="132" t="s">
        <v>99</v>
      </c>
      <c r="C16" s="197">
        <f>'Results&amp;Guidance'!D14</f>
        <v>2.0621844199612163</v>
      </c>
      <c r="D16" s="187"/>
      <c r="E16" s="116"/>
      <c r="F16" s="115"/>
    </row>
    <row r="17" spans="1:8" x14ac:dyDescent="0.25">
      <c r="A17" s="144" t="s">
        <v>84</v>
      </c>
      <c r="B17" s="144" t="s">
        <v>81</v>
      </c>
      <c r="C17" s="198">
        <f>'Results&amp;Guidance'!$F$31</f>
        <v>9440567</v>
      </c>
      <c r="D17" s="187"/>
      <c r="E17" s="87"/>
      <c r="F17" s="87"/>
    </row>
    <row r="18" spans="1:8" x14ac:dyDescent="0.25">
      <c r="A18" s="87"/>
      <c r="B18" s="87"/>
      <c r="C18" s="87"/>
      <c r="D18" s="187"/>
      <c r="E18" s="87"/>
      <c r="F18" s="87"/>
    </row>
    <row r="19" spans="1:8" x14ac:dyDescent="0.25">
      <c r="A19" s="191" t="s">
        <v>142</v>
      </c>
      <c r="B19" s="192"/>
      <c r="C19" s="193"/>
      <c r="D19" s="187"/>
      <c r="E19" s="113"/>
      <c r="F19" s="114"/>
    </row>
    <row r="20" spans="1:8" x14ac:dyDescent="0.25">
      <c r="A20" s="200" t="s">
        <v>138</v>
      </c>
      <c r="B20" s="201" t="s">
        <v>81</v>
      </c>
      <c r="C20" s="205">
        <v>1100000</v>
      </c>
      <c r="D20" s="187"/>
      <c r="E20" s="113"/>
      <c r="F20" s="115"/>
    </row>
    <row r="21" spans="1:8" x14ac:dyDescent="0.25">
      <c r="A21" s="132" t="s">
        <v>139</v>
      </c>
      <c r="B21" s="132" t="s">
        <v>90</v>
      </c>
      <c r="C21" s="205">
        <v>1250000</v>
      </c>
      <c r="D21" s="187"/>
      <c r="E21" s="113"/>
      <c r="F21" s="115"/>
    </row>
    <row r="22" spans="1:8" x14ac:dyDescent="0.25">
      <c r="A22" s="194" t="s">
        <v>140</v>
      </c>
      <c r="B22" s="194" t="s">
        <v>108</v>
      </c>
      <c r="C22" s="206">
        <v>125</v>
      </c>
      <c r="D22" s="187"/>
      <c r="E22" s="113"/>
      <c r="F22" s="115"/>
    </row>
    <row r="23" spans="1:8" x14ac:dyDescent="0.25">
      <c r="A23" s="194" t="s">
        <v>176</v>
      </c>
      <c r="B23" s="132" t="s">
        <v>108</v>
      </c>
      <c r="C23" s="203">
        <f>C20*10^3/C9</f>
        <v>300.42340582368041</v>
      </c>
      <c r="D23" s="187"/>
      <c r="E23" s="113"/>
      <c r="F23" s="115"/>
    </row>
    <row r="24" spans="1:8" x14ac:dyDescent="0.25">
      <c r="A24" s="194" t="s">
        <v>177</v>
      </c>
      <c r="B24" s="132" t="s">
        <v>100</v>
      </c>
      <c r="C24" s="204">
        <f>C27/C23</f>
        <v>18.307494999999999</v>
      </c>
      <c r="D24" s="186" t="s">
        <v>179</v>
      </c>
      <c r="E24" s="113"/>
      <c r="F24" s="115"/>
    </row>
    <row r="25" spans="1:8" x14ac:dyDescent="0.25">
      <c r="D25" s="187"/>
    </row>
    <row r="26" spans="1:8" x14ac:dyDescent="0.25">
      <c r="A26" s="86" t="s">
        <v>141</v>
      </c>
      <c r="B26" s="87"/>
      <c r="C26" s="117"/>
      <c r="D26" s="187"/>
      <c r="E26" s="87"/>
      <c r="F26" s="87"/>
      <c r="G26" s="87"/>
      <c r="H26" s="87"/>
    </row>
    <row r="27" spans="1:8" x14ac:dyDescent="0.25">
      <c r="A27" s="200" t="s">
        <v>143</v>
      </c>
      <c r="B27" s="215" t="s">
        <v>108</v>
      </c>
      <c r="C27" s="218">
        <v>5500</v>
      </c>
      <c r="D27" s="186" t="s">
        <v>178</v>
      </c>
      <c r="E27" s="113"/>
      <c r="F27" s="115"/>
      <c r="G27" s="87"/>
      <c r="H27" s="87"/>
    </row>
    <row r="28" spans="1:8" x14ac:dyDescent="0.25">
      <c r="A28" s="132" t="s">
        <v>144</v>
      </c>
      <c r="B28" s="132" t="s">
        <v>100</v>
      </c>
      <c r="C28" s="220">
        <v>14</v>
      </c>
      <c r="D28" s="187"/>
      <c r="E28" s="113"/>
      <c r="F28" s="115"/>
      <c r="G28" s="87"/>
      <c r="H28" s="87"/>
    </row>
    <row r="29" spans="1:8" x14ac:dyDescent="0.25">
      <c r="A29" s="132" t="s">
        <v>145</v>
      </c>
      <c r="B29" s="132" t="s">
        <v>100</v>
      </c>
      <c r="C29" s="219">
        <v>20</v>
      </c>
      <c r="D29" s="187"/>
      <c r="E29" s="113"/>
      <c r="F29" s="115"/>
      <c r="G29" s="87"/>
      <c r="H29" s="87"/>
    </row>
    <row r="30" spans="1:8" x14ac:dyDescent="0.25">
      <c r="A30" s="132" t="s">
        <v>146</v>
      </c>
      <c r="B30" s="132" t="s">
        <v>100</v>
      </c>
      <c r="C30" s="204">
        <f>AVERAGE(C28:C29)</f>
        <v>17</v>
      </c>
      <c r="D30" s="187"/>
      <c r="E30" s="113"/>
      <c r="F30" s="115"/>
      <c r="G30" s="87"/>
      <c r="H30" s="87"/>
    </row>
    <row r="31" spans="1:8" x14ac:dyDescent="0.25">
      <c r="A31" s="154"/>
      <c r="B31" s="154"/>
      <c r="C31" s="221"/>
      <c r="D31" s="187"/>
      <c r="E31" s="113"/>
      <c r="F31" s="115"/>
      <c r="G31" s="87"/>
      <c r="H31" s="87"/>
    </row>
    <row r="32" spans="1:8" x14ac:dyDescent="0.25">
      <c r="A32" s="132" t="s">
        <v>194</v>
      </c>
      <c r="B32" s="132" t="s">
        <v>100</v>
      </c>
      <c r="C32" s="220">
        <v>2</v>
      </c>
      <c r="D32" s="187"/>
      <c r="E32" s="113"/>
      <c r="F32" s="115"/>
      <c r="G32" s="87"/>
      <c r="H32" s="87"/>
    </row>
    <row r="33" spans="1:8" x14ac:dyDescent="0.25">
      <c r="A33" s="132" t="s">
        <v>196</v>
      </c>
      <c r="B33" s="132" t="s">
        <v>100</v>
      </c>
      <c r="C33" s="219">
        <v>2.25</v>
      </c>
      <c r="D33" s="187"/>
      <c r="E33" s="113"/>
      <c r="F33" s="115"/>
      <c r="G33" s="87"/>
      <c r="H33" s="87"/>
    </row>
    <row r="34" spans="1:8" x14ac:dyDescent="0.25">
      <c r="A34" s="132" t="s">
        <v>195</v>
      </c>
      <c r="B34" s="132" t="s">
        <v>100</v>
      </c>
      <c r="C34" s="202">
        <f>AVERAGE(C32:C33)</f>
        <v>2.125</v>
      </c>
      <c r="D34" s="187"/>
      <c r="E34" s="113"/>
      <c r="F34" s="115"/>
      <c r="G34" s="87"/>
      <c r="H34" s="87"/>
    </row>
    <row r="35" spans="1:8" x14ac:dyDescent="0.25">
      <c r="A35" s="102"/>
      <c r="B35" s="102"/>
      <c r="C35" s="110"/>
      <c r="D35" s="187"/>
      <c r="E35" s="106"/>
      <c r="F35" s="107"/>
      <c r="G35" s="87"/>
      <c r="H35" s="87"/>
    </row>
    <row r="36" spans="1:8" x14ac:dyDescent="0.25">
      <c r="A36" s="224" t="s">
        <v>183</v>
      </c>
      <c r="B36" s="214"/>
      <c r="C36" s="225"/>
      <c r="D36" s="187"/>
      <c r="E36" s="106"/>
      <c r="F36" s="107"/>
      <c r="G36" s="87"/>
      <c r="H36" s="87"/>
    </row>
    <row r="37" spans="1:8" x14ac:dyDescent="0.25">
      <c r="A37" s="132" t="s">
        <v>167</v>
      </c>
      <c r="B37" s="132" t="s">
        <v>90</v>
      </c>
      <c r="C37" s="217">
        <v>1000000</v>
      </c>
      <c r="D37" s="187"/>
      <c r="E37" s="106"/>
      <c r="F37" s="107"/>
      <c r="G37" s="87"/>
      <c r="H37" s="87"/>
    </row>
    <row r="38" spans="1:8" x14ac:dyDescent="0.25">
      <c r="A38" s="132" t="s">
        <v>168</v>
      </c>
      <c r="B38" s="194" t="s">
        <v>108</v>
      </c>
      <c r="C38" s="226">
        <f>C27</f>
        <v>5500</v>
      </c>
      <c r="D38" s="187"/>
      <c r="E38" s="106"/>
      <c r="F38" s="107"/>
      <c r="G38" s="87"/>
      <c r="H38" s="87"/>
    </row>
    <row r="39" spans="1:8" x14ac:dyDescent="0.25">
      <c r="A39" s="222" t="s">
        <v>169</v>
      </c>
      <c r="B39" s="223" t="s">
        <v>119</v>
      </c>
      <c r="C39" s="226">
        <f>C37*10^3/C38</f>
        <v>181818.18181818182</v>
      </c>
      <c r="D39" s="187"/>
      <c r="E39" s="106"/>
      <c r="F39" s="107"/>
      <c r="G39" s="87"/>
      <c r="H39" s="87"/>
    </row>
    <row r="40" spans="1:8" x14ac:dyDescent="0.25">
      <c r="A40" s="132" t="s">
        <v>170</v>
      </c>
      <c r="B40" s="194" t="s">
        <v>118</v>
      </c>
      <c r="C40" s="226">
        <f>C9-C39</f>
        <v>3479680.8181818184</v>
      </c>
      <c r="D40" s="187"/>
      <c r="E40" s="106"/>
      <c r="F40" s="107"/>
      <c r="G40" s="87"/>
      <c r="H40" s="87"/>
    </row>
    <row r="41" spans="1:8" x14ac:dyDescent="0.25">
      <c r="A41" s="1"/>
      <c r="B41" s="88"/>
      <c r="C41" s="88"/>
      <c r="D41" s="2"/>
    </row>
    <row r="42" spans="1:8" x14ac:dyDescent="0.25">
      <c r="A42" s="188" t="s">
        <v>162</v>
      </c>
      <c r="B42" s="227"/>
      <c r="C42" s="227"/>
      <c r="D42" s="228"/>
      <c r="E42" s="166"/>
    </row>
    <row r="43" spans="1:8" x14ac:dyDescent="0.25">
      <c r="A43" s="132" t="s">
        <v>11</v>
      </c>
      <c r="B43" s="132"/>
      <c r="C43" s="230">
        <v>8.5000000000000006E-2</v>
      </c>
      <c r="D43" s="134"/>
    </row>
    <row r="44" spans="1:8" x14ac:dyDescent="0.25">
      <c r="A44" s="132" t="s">
        <v>12</v>
      </c>
      <c r="B44" s="132"/>
      <c r="C44" s="230">
        <v>0.02</v>
      </c>
      <c r="D44" s="134" t="s">
        <v>13</v>
      </c>
    </row>
    <row r="45" spans="1:8" x14ac:dyDescent="0.25">
      <c r="A45" s="132" t="s">
        <v>14</v>
      </c>
      <c r="B45" s="132"/>
      <c r="C45" s="230">
        <v>0.1</v>
      </c>
      <c r="D45" s="134" t="s">
        <v>200</v>
      </c>
    </row>
    <row r="46" spans="1:8" x14ac:dyDescent="0.25">
      <c r="A46" s="132" t="s">
        <v>15</v>
      </c>
      <c r="B46" s="132"/>
      <c r="C46" s="230">
        <v>7.0000000000000007E-2</v>
      </c>
      <c r="D46" s="134" t="s">
        <v>16</v>
      </c>
    </row>
    <row r="47" spans="1:8" x14ac:dyDescent="0.25">
      <c r="A47" s="132" t="s">
        <v>17</v>
      </c>
      <c r="B47" s="132"/>
      <c r="C47" s="229">
        <v>0.03</v>
      </c>
      <c r="D47" s="134" t="s">
        <v>18</v>
      </c>
    </row>
    <row r="48" spans="1:8" x14ac:dyDescent="0.25">
      <c r="A48" s="1"/>
      <c r="B48" s="1"/>
      <c r="C48" s="1"/>
      <c r="D48" s="1"/>
    </row>
    <row r="49" spans="1:5" ht="18" customHeight="1" x14ac:dyDescent="0.25">
      <c r="A49" s="188" t="s">
        <v>181</v>
      </c>
      <c r="B49" s="188"/>
      <c r="C49" s="188"/>
      <c r="D49" s="188"/>
      <c r="E49" s="140"/>
    </row>
    <row r="50" spans="1:5" x14ac:dyDescent="0.25">
      <c r="A50" s="231" t="s">
        <v>180</v>
      </c>
      <c r="B50" s="231"/>
      <c r="C50" s="233">
        <v>5209</v>
      </c>
      <c r="D50" s="134" t="s">
        <v>1</v>
      </c>
    </row>
    <row r="51" spans="1:5" x14ac:dyDescent="0.25">
      <c r="A51" s="132" t="s">
        <v>2</v>
      </c>
      <c r="B51" s="132"/>
      <c r="C51" s="233">
        <v>7000</v>
      </c>
      <c r="D51" s="134" t="s">
        <v>3</v>
      </c>
    </row>
    <row r="52" spans="1:5" x14ac:dyDescent="0.25">
      <c r="A52" s="132" t="s">
        <v>4</v>
      </c>
      <c r="B52" s="132"/>
      <c r="C52" s="233">
        <v>3281</v>
      </c>
      <c r="D52" s="134" t="s">
        <v>5</v>
      </c>
    </row>
    <row r="53" spans="1:5" x14ac:dyDescent="0.25">
      <c r="A53" s="132" t="s">
        <v>6</v>
      </c>
      <c r="B53" s="132"/>
      <c r="C53" s="216">
        <v>5518</v>
      </c>
      <c r="D53" s="134" t="s">
        <v>7</v>
      </c>
    </row>
    <row r="54" spans="1:5" x14ac:dyDescent="0.25">
      <c r="A54" s="132" t="s">
        <v>8</v>
      </c>
      <c r="B54" s="132"/>
      <c r="C54" s="232" t="s">
        <v>9</v>
      </c>
      <c r="D54" s="134" t="s">
        <v>10</v>
      </c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563EB"/>
  </sheetPr>
  <dimension ref="A1:G18"/>
  <sheetViews>
    <sheetView showGridLines="0" zoomScaleNormal="100" workbookViewId="0">
      <selection sqref="A1:F2"/>
    </sheetView>
  </sheetViews>
  <sheetFormatPr defaultColWidth="0" defaultRowHeight="15" x14ac:dyDescent="0.25"/>
  <cols>
    <col min="1" max="1" width="57.28515625" bestFit="1" customWidth="1"/>
    <col min="2" max="6" width="20.7109375" customWidth="1"/>
    <col min="8" max="16384" width="8.7109375" hidden="1"/>
  </cols>
  <sheetData>
    <row r="1" spans="1:6" ht="21.75" customHeight="1" x14ac:dyDescent="0.25">
      <c r="A1" s="260" t="s">
        <v>125</v>
      </c>
      <c r="B1" s="261"/>
      <c r="C1" s="261"/>
      <c r="D1" s="261"/>
      <c r="E1" s="261"/>
      <c r="F1" s="261"/>
    </row>
    <row r="2" spans="1:6" ht="21.75" customHeight="1" x14ac:dyDescent="0.25">
      <c r="A2" s="262"/>
      <c r="B2" s="262"/>
      <c r="C2" s="262"/>
      <c r="D2" s="262"/>
      <c r="E2" s="262"/>
      <c r="F2" s="262"/>
    </row>
    <row r="3" spans="1:6" ht="18" customHeight="1" x14ac:dyDescent="0.25">
      <c r="A3" s="138" t="s">
        <v>128</v>
      </c>
      <c r="B3" s="138"/>
      <c r="C3" s="138"/>
      <c r="D3" s="138"/>
      <c r="E3" s="138"/>
      <c r="F3" s="138"/>
    </row>
    <row r="4" spans="1:6" ht="34.5" customHeight="1" x14ac:dyDescent="0.25">
      <c r="A4" s="178" t="s">
        <v>21</v>
      </c>
      <c r="B4" s="178" t="s">
        <v>22</v>
      </c>
      <c r="C4" s="178" t="s">
        <v>23</v>
      </c>
      <c r="D4" s="178" t="s">
        <v>24</v>
      </c>
      <c r="E4" s="178" t="s">
        <v>25</v>
      </c>
      <c r="F4" s="178" t="s">
        <v>147</v>
      </c>
    </row>
    <row r="5" spans="1:6" ht="15" customHeight="1" x14ac:dyDescent="0.25">
      <c r="A5" s="190" t="s">
        <v>129</v>
      </c>
      <c r="B5" s="234">
        <f>'① Assumptions'!C28</f>
        <v>14</v>
      </c>
      <c r="C5" s="235">
        <f>'① Assumptions'!$C$23</f>
        <v>300.42340582368041</v>
      </c>
      <c r="D5" s="236">
        <f>B5*C5</f>
        <v>4205.9276815315261</v>
      </c>
      <c r="E5" s="235">
        <f>D5-'① Assumptions'!$C$27</f>
        <v>-1294.0723184684739</v>
      </c>
      <c r="F5" s="237">
        <f>E5/'① Assumptions'!$C$27</f>
        <v>-0.23528587608517706</v>
      </c>
    </row>
    <row r="6" spans="1:6" ht="15" customHeight="1" x14ac:dyDescent="0.25">
      <c r="A6" s="190" t="s">
        <v>131</v>
      </c>
      <c r="B6" s="234">
        <f>'① Assumptions'!C30</f>
        <v>17</v>
      </c>
      <c r="C6" s="235">
        <f>'① Assumptions'!$C$23</f>
        <v>300.42340582368041</v>
      </c>
      <c r="D6" s="236">
        <f>B6*C6</f>
        <v>5107.1978990025673</v>
      </c>
      <c r="E6" s="235">
        <f>D6-'① Assumptions'!$C$27</f>
        <v>-392.80210099743272</v>
      </c>
      <c r="F6" s="237">
        <f>E6/'① Assumptions'!$C$27</f>
        <v>-7.1418563817715039E-2</v>
      </c>
    </row>
    <row r="7" spans="1:6" ht="15" customHeight="1" x14ac:dyDescent="0.25">
      <c r="A7" s="132" t="s">
        <v>130</v>
      </c>
      <c r="B7" s="238">
        <f>'① Assumptions'!C29</f>
        <v>20</v>
      </c>
      <c r="C7" s="226">
        <f>'① Assumptions'!$C$23</f>
        <v>300.42340582368041</v>
      </c>
      <c r="D7" s="239">
        <f>B7*C7</f>
        <v>6008.4681164736085</v>
      </c>
      <c r="E7" s="226">
        <f>D7-'① Assumptions'!$C$27</f>
        <v>508.46811647360846</v>
      </c>
      <c r="F7" s="240">
        <f>E7/'① Assumptions'!$C$27</f>
        <v>9.2448748449746987E-2</v>
      </c>
    </row>
    <row r="8" spans="1:6" ht="15" customHeight="1" x14ac:dyDescent="0.25">
      <c r="A8" s="172" t="s">
        <v>166</v>
      </c>
      <c r="B8" s="173">
        <f>B6</f>
        <v>17</v>
      </c>
      <c r="C8" s="174">
        <f>'① Assumptions'!C20*10^3/'① Assumptions'!C40</f>
        <v>316.12094829282802</v>
      </c>
      <c r="D8" s="175">
        <f>B8*C8</f>
        <v>5374.0561209780763</v>
      </c>
      <c r="E8" s="174">
        <f>D8-'① Assumptions'!$C$27</f>
        <v>-125.94387902192375</v>
      </c>
      <c r="F8" s="176">
        <f>E8/'① Assumptions'!$C$27</f>
        <v>-2.2898887094895227E-2</v>
      </c>
    </row>
    <row r="10" spans="1:6" ht="18" customHeight="1" x14ac:dyDescent="0.25">
      <c r="A10" s="140" t="s">
        <v>175</v>
      </c>
      <c r="B10" s="140"/>
      <c r="C10" s="140"/>
      <c r="D10" s="140"/>
      <c r="E10" s="140"/>
      <c r="F10" s="140"/>
    </row>
    <row r="11" spans="1:6" ht="34.5" customHeight="1" x14ac:dyDescent="0.25">
      <c r="A11" s="179" t="s">
        <v>21</v>
      </c>
      <c r="B11" s="179" t="s">
        <v>27</v>
      </c>
      <c r="C11" s="179" t="s">
        <v>28</v>
      </c>
      <c r="D11" s="179" t="s">
        <v>24</v>
      </c>
      <c r="E11" s="179" t="s">
        <v>25</v>
      </c>
      <c r="F11" s="179" t="s">
        <v>26</v>
      </c>
    </row>
    <row r="12" spans="1:6" ht="15" customHeight="1" x14ac:dyDescent="0.25">
      <c r="A12" s="190" t="s">
        <v>129</v>
      </c>
      <c r="B12" s="234">
        <f>'① Assumptions'!C32</f>
        <v>2</v>
      </c>
      <c r="C12" s="235">
        <f>'① Assumptions'!$C$14</f>
        <v>2578.3339009514957</v>
      </c>
      <c r="D12" s="236">
        <f>B12*C12</f>
        <v>5156.6678019029914</v>
      </c>
      <c r="E12" s="235">
        <f>D12-'① Assumptions'!$C$27</f>
        <v>-343.33219809700859</v>
      </c>
      <c r="F12" s="237">
        <f>E12/'① Assumptions'!$C$27</f>
        <v>-6.2424036017637928E-2</v>
      </c>
    </row>
    <row r="13" spans="1:6" ht="15" customHeight="1" x14ac:dyDescent="0.25">
      <c r="A13" s="190" t="s">
        <v>131</v>
      </c>
      <c r="B13" s="234">
        <f>'① Assumptions'!C34</f>
        <v>2.125</v>
      </c>
      <c r="C13" s="235">
        <f>'① Assumptions'!$C$14</f>
        <v>2578.3339009514957</v>
      </c>
      <c r="D13" s="236">
        <f>B13*C13</f>
        <v>5478.9595395219285</v>
      </c>
      <c r="E13" s="226">
        <f>D13-'① Assumptions'!$C$27</f>
        <v>-21.040460478071509</v>
      </c>
      <c r="F13" s="237">
        <f>E13/'① Assumptions'!$C$27</f>
        <v>-3.8255382687402742E-3</v>
      </c>
    </row>
    <row r="14" spans="1:6" ht="15" customHeight="1" x14ac:dyDescent="0.25">
      <c r="A14" s="190" t="s">
        <v>130</v>
      </c>
      <c r="B14" s="234">
        <f>'① Assumptions'!C33</f>
        <v>2.25</v>
      </c>
      <c r="C14" s="235">
        <f>'① Assumptions'!$C$14</f>
        <v>2578.3339009514957</v>
      </c>
      <c r="D14" s="236">
        <f>B14*C14</f>
        <v>5801.2512771408656</v>
      </c>
      <c r="E14" s="174">
        <f>D14-'① Assumptions'!$C$27</f>
        <v>301.25127714086557</v>
      </c>
      <c r="F14" s="237">
        <f>E14/'① Assumptions'!$C$27</f>
        <v>5.4772959480157375E-2</v>
      </c>
    </row>
    <row r="16" spans="1:6" x14ac:dyDescent="0.25">
      <c r="A16" s="182"/>
      <c r="B16" s="183"/>
      <c r="C16" s="183"/>
      <c r="D16" s="183"/>
      <c r="E16" s="183"/>
      <c r="F16" s="184"/>
    </row>
    <row r="17" spans="1:6" x14ac:dyDescent="0.25">
      <c r="A17" s="185"/>
      <c r="B17" s="181"/>
      <c r="C17" s="181"/>
      <c r="D17" s="181"/>
      <c r="E17" s="181"/>
      <c r="F17" s="184"/>
    </row>
    <row r="18" spans="1:6" x14ac:dyDescent="0.25">
      <c r="A18" s="87"/>
      <c r="B18" s="50"/>
      <c r="C18" s="50"/>
      <c r="D18" s="50"/>
      <c r="E18" s="50"/>
    </row>
  </sheetData>
  <phoneticPr fontId="19"/>
  <conditionalFormatting sqref="F5:F8">
    <cfRule type="cellIs" dxfId="5" priority="4" operator="greaterThan">
      <formula>0</formula>
    </cfRule>
    <cfRule type="cellIs" dxfId="4" priority="5" operator="lessThan">
      <formula>0</formula>
    </cfRule>
  </conditionalFormatting>
  <conditionalFormatting sqref="F12:F14">
    <cfRule type="cellIs" dxfId="3" priority="1" operator="greaterThan">
      <formula>0</formula>
    </cfRule>
    <cfRule type="cellIs" dxfId="2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6A34A"/>
  </sheetPr>
  <dimension ref="A1:Q44"/>
  <sheetViews>
    <sheetView showGridLines="0" topLeftCell="A8" zoomScaleNormal="100" workbookViewId="0">
      <selection activeCell="O51" sqref="O51"/>
    </sheetView>
  </sheetViews>
  <sheetFormatPr defaultColWidth="0" defaultRowHeight="15" x14ac:dyDescent="0.25"/>
  <cols>
    <col min="1" max="1" width="5.42578125" customWidth="1"/>
    <col min="2" max="2" width="49.140625" customWidth="1"/>
    <col min="3" max="16" width="15.7109375" customWidth="1"/>
    <col min="18" max="16384" width="8.7109375" hidden="1"/>
  </cols>
  <sheetData>
    <row r="1" spans="1:16" ht="21.75" customHeight="1" x14ac:dyDescent="0.25">
      <c r="A1" s="251" t="s">
        <v>75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ht="21.7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16" x14ac:dyDescent="0.25">
      <c r="A3" s="140" t="s">
        <v>163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x14ac:dyDescent="0.25">
      <c r="A4" s="131"/>
      <c r="B4" s="130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6" x14ac:dyDescent="0.25">
      <c r="A5" s="131"/>
      <c r="B5" s="180"/>
      <c r="C5" s="101" t="s">
        <v>173</v>
      </c>
      <c r="D5" s="101" t="s">
        <v>174</v>
      </c>
    </row>
    <row r="6" spans="1:16" x14ac:dyDescent="0.25">
      <c r="A6" s="131"/>
      <c r="B6" s="3" t="s">
        <v>29</v>
      </c>
      <c r="C6" s="111">
        <f>D26</f>
        <v>2572.3610614757931</v>
      </c>
      <c r="D6" s="111">
        <f>D41</f>
        <v>2706.7705190138549</v>
      </c>
    </row>
    <row r="7" spans="1:16" x14ac:dyDescent="0.25">
      <c r="A7" s="131"/>
      <c r="B7" s="5" t="s">
        <v>30</v>
      </c>
      <c r="C7" s="112">
        <f>D27</f>
        <v>3365.7817244926628</v>
      </c>
      <c r="D7" s="112">
        <f>D42</f>
        <v>3472.2044309956082</v>
      </c>
    </row>
    <row r="8" spans="1:16" x14ac:dyDescent="0.25">
      <c r="A8" s="131"/>
      <c r="B8" s="128" t="s">
        <v>32</v>
      </c>
      <c r="C8" s="129">
        <f>SUM(C6:C7)</f>
        <v>5938.1427859684554</v>
      </c>
      <c r="D8" s="129">
        <f>SUM(D6:D7)</f>
        <v>6178.9749500094631</v>
      </c>
    </row>
    <row r="9" spans="1:16" x14ac:dyDescent="0.25">
      <c r="A9" s="131"/>
      <c r="B9" s="1" t="s">
        <v>31</v>
      </c>
      <c r="C9" s="17">
        <f>C7/C8</f>
        <v>0.5668071391691426</v>
      </c>
      <c r="D9" s="17">
        <f>D7/D8</f>
        <v>0.56193858351704284</v>
      </c>
      <c r="E9" s="87" t="s">
        <v>201</v>
      </c>
    </row>
    <row r="10" spans="1:16" x14ac:dyDescent="0.25">
      <c r="A10" s="131"/>
      <c r="B10" s="3" t="s">
        <v>33</v>
      </c>
      <c r="C10" s="111">
        <f>'① Assumptions'!$C$27</f>
        <v>5500</v>
      </c>
      <c r="D10" s="111">
        <f>'① Assumptions'!$C$27</f>
        <v>5500</v>
      </c>
    </row>
    <row r="11" spans="1:16" x14ac:dyDescent="0.25">
      <c r="A11" s="131"/>
      <c r="B11" s="5" t="s">
        <v>34</v>
      </c>
      <c r="C11" s="112">
        <f>C8-C10</f>
        <v>438.14278596845543</v>
      </c>
      <c r="D11" s="112">
        <f>D8-D10</f>
        <v>678.9749500094631</v>
      </c>
    </row>
    <row r="12" spans="1:16" x14ac:dyDescent="0.25">
      <c r="A12" s="131"/>
      <c r="B12" s="3" t="s">
        <v>35</v>
      </c>
      <c r="C12" s="7">
        <f>(C8-C10)/C10</f>
        <v>7.966232472153735E-2</v>
      </c>
      <c r="D12" s="7">
        <f>(D8-D10)/D10</f>
        <v>0.12344999091081148</v>
      </c>
    </row>
    <row r="13" spans="1:16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</row>
    <row r="14" spans="1:16" x14ac:dyDescent="0.25">
      <c r="A14" s="138" t="s">
        <v>164</v>
      </c>
      <c r="B14" s="136"/>
      <c r="C14" s="135"/>
      <c r="D14" s="135"/>
      <c r="E14" s="142"/>
      <c r="F14" s="135"/>
      <c r="G14" s="137"/>
      <c r="H14" s="137"/>
      <c r="I14" s="137"/>
      <c r="J14" s="137"/>
      <c r="K14" s="137"/>
      <c r="L14" s="137"/>
      <c r="M14" s="137"/>
      <c r="N14" s="137"/>
      <c r="O14" s="137"/>
      <c r="P14" s="137"/>
    </row>
    <row r="15" spans="1:16" x14ac:dyDescent="0.25">
      <c r="A15" s="131"/>
      <c r="B15" s="143"/>
      <c r="C15" s="131"/>
      <c r="D15" s="131"/>
      <c r="E15" s="141"/>
      <c r="F15" s="131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6" x14ac:dyDescent="0.25">
      <c r="A16" s="131">
        <v>1</v>
      </c>
      <c r="B16" s="177" t="s">
        <v>171</v>
      </c>
      <c r="C16" s="131"/>
      <c r="D16" s="131"/>
      <c r="E16" s="141"/>
      <c r="F16" s="131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6" x14ac:dyDescent="0.25">
      <c r="A17" s="87"/>
      <c r="B17" s="145"/>
      <c r="C17" s="119"/>
      <c r="D17" s="119"/>
      <c r="E17" s="121" t="s">
        <v>94</v>
      </c>
      <c r="F17" s="119">
        <v>1</v>
      </c>
      <c r="G17" s="119">
        <f>F17+1</f>
        <v>2</v>
      </c>
      <c r="H17" s="119">
        <f>G17+1</f>
        <v>3</v>
      </c>
      <c r="I17" s="119">
        <f>H17+1</f>
        <v>4</v>
      </c>
      <c r="J17" s="119">
        <f>I17+1</f>
        <v>5</v>
      </c>
      <c r="K17" s="119">
        <f>J17+1</f>
        <v>6</v>
      </c>
      <c r="L17" s="119">
        <f>K17+1</f>
        <v>7</v>
      </c>
      <c r="M17" s="119">
        <f>L17+1</f>
        <v>8</v>
      </c>
      <c r="N17" s="119">
        <f>M17+1</f>
        <v>9</v>
      </c>
      <c r="O17" s="146">
        <f>N17+1</f>
        <v>10</v>
      </c>
      <c r="P17" s="87"/>
    </row>
    <row r="18" spans="1:16" x14ac:dyDescent="0.25">
      <c r="A18" s="87"/>
      <c r="B18" s="147"/>
      <c r="C18" s="117"/>
      <c r="D18" s="117" t="s">
        <v>161</v>
      </c>
      <c r="E18" s="122">
        <v>2025</v>
      </c>
      <c r="F18" s="118">
        <f>E18+1</f>
        <v>2026</v>
      </c>
      <c r="G18" s="118">
        <f>F18+1</f>
        <v>2027</v>
      </c>
      <c r="H18" s="118">
        <f>G18+1</f>
        <v>2028</v>
      </c>
      <c r="I18" s="118">
        <f>H18+1</f>
        <v>2029</v>
      </c>
      <c r="J18" s="118">
        <f>I18+1</f>
        <v>2030</v>
      </c>
      <c r="K18" s="118">
        <f>J18+1</f>
        <v>2031</v>
      </c>
      <c r="L18" s="118">
        <f>K18+1</f>
        <v>2032</v>
      </c>
      <c r="M18" s="118">
        <f>L18+1</f>
        <v>2033</v>
      </c>
      <c r="N18" s="118">
        <f>M18+1</f>
        <v>2034</v>
      </c>
      <c r="O18" s="148">
        <f>N18+1</f>
        <v>2035</v>
      </c>
      <c r="P18" s="87"/>
    </row>
    <row r="19" spans="1:16" x14ac:dyDescent="0.25">
      <c r="A19" s="87"/>
      <c r="B19" s="149" t="s">
        <v>149</v>
      </c>
      <c r="C19" s="150" t="s">
        <v>113</v>
      </c>
      <c r="D19" s="150"/>
      <c r="E19" s="123"/>
      <c r="F19" s="151">
        <f>IF(F$17&gt;=6,'① Assumptions'!$C$47,IF(F$17&gt;=2,'① Assumptions'!$C$46,'① Assumptions'!$C$45))</f>
        <v>0.1</v>
      </c>
      <c r="G19" s="151">
        <f>IF(G$17&gt;=6,'① Assumptions'!$C$47,IF(G$17&gt;=2,'① Assumptions'!$C$46,'① Assumptions'!$C$45))</f>
        <v>7.0000000000000007E-2</v>
      </c>
      <c r="H19" s="151">
        <f>IF(H$17&gt;=6,'① Assumptions'!$C$47,IF(H$17&gt;=2,'① Assumptions'!$C$46,'① Assumptions'!$C$45))</f>
        <v>7.0000000000000007E-2</v>
      </c>
      <c r="I19" s="151">
        <f>IF(I$17&gt;=6,'① Assumptions'!$C$47,IF(I$17&gt;=2,'① Assumptions'!$C$46,'① Assumptions'!$C$45))</f>
        <v>7.0000000000000007E-2</v>
      </c>
      <c r="J19" s="151">
        <f>IF(J$17&gt;=6,'① Assumptions'!$C$47,IF(J$17&gt;=2,'① Assumptions'!$C$46,'① Assumptions'!$C$45))</f>
        <v>7.0000000000000007E-2</v>
      </c>
      <c r="K19" s="151">
        <f>IF(K$17&gt;=6,'① Assumptions'!$C$47,IF(K$17&gt;=2,'① Assumptions'!$C$46,'① Assumptions'!$C$45))</f>
        <v>0.03</v>
      </c>
      <c r="L19" s="151">
        <f>IF(L$17&gt;=6,'① Assumptions'!$C$47,IF(L$17&gt;=2,'① Assumptions'!$C$46,'① Assumptions'!$C$45))</f>
        <v>0.03</v>
      </c>
      <c r="M19" s="151">
        <f>IF(M$17&gt;=6,'① Assumptions'!$C$47,IF(M$17&gt;=2,'① Assumptions'!$C$46,'① Assumptions'!$C$45))</f>
        <v>0.03</v>
      </c>
      <c r="N19" s="151">
        <f>IF(N$17&gt;=6,'① Assumptions'!$C$47,IF(N$17&gt;=2,'① Assumptions'!$C$46,'① Assumptions'!$C$45))</f>
        <v>0.03</v>
      </c>
      <c r="O19" s="152">
        <f>IF(O$17&gt;=6,'① Assumptions'!$C$47,IF(O$17&gt;=2,'① Assumptions'!$C$46,'① Assumptions'!$C$45))</f>
        <v>0.03</v>
      </c>
      <c r="P19" s="87"/>
    </row>
    <row r="20" spans="1:16" x14ac:dyDescent="0.25">
      <c r="A20" s="87"/>
      <c r="B20" s="153" t="s">
        <v>148</v>
      </c>
      <c r="C20" s="154" t="s">
        <v>81</v>
      </c>
      <c r="D20" s="155">
        <f>SUM(F20:O20)</f>
        <v>14799707.758990206</v>
      </c>
      <c r="E20" s="124">
        <f>'Results&amp;Guidance'!$F$26</f>
        <v>1041457</v>
      </c>
      <c r="F20" s="156">
        <f>E20*(1+F19)</f>
        <v>1145602.7000000002</v>
      </c>
      <c r="G20" s="156">
        <f>F20*(1+G19)</f>
        <v>1225794.8890000002</v>
      </c>
      <c r="H20" s="156">
        <f>G20*(1+H19)</f>
        <v>1311600.5312300003</v>
      </c>
      <c r="I20" s="156">
        <f>H20*(1+I19)</f>
        <v>1403412.5684161005</v>
      </c>
      <c r="J20" s="156">
        <f>I20*(1+J19)</f>
        <v>1501651.4482052275</v>
      </c>
      <c r="K20" s="156">
        <f>J20*(1+K19)</f>
        <v>1546700.9916513844</v>
      </c>
      <c r="L20" s="156">
        <f>K20*(1+L19)</f>
        <v>1593102.0214009259</v>
      </c>
      <c r="M20" s="156">
        <f>L20*(1+M19)</f>
        <v>1640895.0820429537</v>
      </c>
      <c r="N20" s="156">
        <f>M20*(1+N19)</f>
        <v>1690121.9345042424</v>
      </c>
      <c r="O20" s="157">
        <f>N20*(1+O19)</f>
        <v>1740825.5925393696</v>
      </c>
      <c r="P20" s="87"/>
    </row>
    <row r="21" spans="1:16" x14ac:dyDescent="0.25">
      <c r="A21" s="87"/>
      <c r="B21" s="153" t="s">
        <v>155</v>
      </c>
      <c r="C21" s="154" t="s">
        <v>81</v>
      </c>
      <c r="D21" s="155">
        <f>SUM(F21:O21)</f>
        <v>27317570.836771645</v>
      </c>
      <c r="E21" s="124"/>
      <c r="F21" s="156"/>
      <c r="G21" s="156"/>
      <c r="H21" s="156"/>
      <c r="I21" s="156"/>
      <c r="J21" s="156"/>
      <c r="K21" s="156"/>
      <c r="L21" s="156"/>
      <c r="M21" s="156"/>
      <c r="N21" s="156"/>
      <c r="O21" s="157">
        <f>(O20*(1+'① Assumptions'!$C$44))/('① Assumptions'!C43-'① Assumptions'!C44)</f>
        <v>27317570.836771645</v>
      </c>
      <c r="P21" s="87"/>
    </row>
    <row r="22" spans="1:16" x14ac:dyDescent="0.25">
      <c r="A22" s="87"/>
      <c r="B22" s="149" t="s">
        <v>117</v>
      </c>
      <c r="C22" s="150" t="s">
        <v>150</v>
      </c>
      <c r="D22" s="150"/>
      <c r="E22" s="124">
        <f>'Results&amp;Guidance'!$D$7</f>
        <v>3661499</v>
      </c>
      <c r="F22" s="158">
        <f>'Results&amp;Guidance'!$D$7</f>
        <v>3661499</v>
      </c>
      <c r="G22" s="158">
        <f>'Results&amp;Guidance'!$D$7</f>
        <v>3661499</v>
      </c>
      <c r="H22" s="158">
        <f>'Results&amp;Guidance'!$D$7</f>
        <v>3661499</v>
      </c>
      <c r="I22" s="158">
        <f>'Results&amp;Guidance'!$D$7</f>
        <v>3661499</v>
      </c>
      <c r="J22" s="158">
        <f>'Results&amp;Guidance'!$D$7</f>
        <v>3661499</v>
      </c>
      <c r="K22" s="158">
        <f>'Results&amp;Guidance'!$D$7</f>
        <v>3661499</v>
      </c>
      <c r="L22" s="158">
        <f>'Results&amp;Guidance'!$D$7</f>
        <v>3661499</v>
      </c>
      <c r="M22" s="158">
        <f>'Results&amp;Guidance'!$D$7</f>
        <v>3661499</v>
      </c>
      <c r="N22" s="158">
        <f>'Results&amp;Guidance'!$D$7</f>
        <v>3661499</v>
      </c>
      <c r="O22" s="159">
        <f>'Results&amp;Guidance'!$D$7</f>
        <v>3661499</v>
      </c>
      <c r="P22" s="87"/>
    </row>
    <row r="23" spans="1:16" x14ac:dyDescent="0.25">
      <c r="A23" s="87"/>
      <c r="B23" s="153" t="s">
        <v>151</v>
      </c>
      <c r="C23" s="154" t="s">
        <v>108</v>
      </c>
      <c r="D23" s="154"/>
      <c r="E23" s="124">
        <f>E20*10^3/E22</f>
        <v>284.43459905355701</v>
      </c>
      <c r="F23" s="156">
        <f>F20*10^3/F$22</f>
        <v>312.87805895891279</v>
      </c>
      <c r="G23" s="156">
        <f>G20*10^3/G$22</f>
        <v>334.7795230860367</v>
      </c>
      <c r="H23" s="156">
        <f>H20*10^3/H$22</f>
        <v>358.21408970205925</v>
      </c>
      <c r="I23" s="156">
        <f>I20*10^3/I$22</f>
        <v>383.28907598120344</v>
      </c>
      <c r="J23" s="156">
        <f>J20*10^3/J$22</f>
        <v>410.11931129988773</v>
      </c>
      <c r="K23" s="156">
        <f>K20*10^3/K$22</f>
        <v>422.42289063888433</v>
      </c>
      <c r="L23" s="156">
        <f>L20*10^3/L$22</f>
        <v>435.09557735805089</v>
      </c>
      <c r="M23" s="156">
        <f>M20*10^3/M$22</f>
        <v>448.14844467879243</v>
      </c>
      <c r="N23" s="156">
        <f>N20*10^3/N$22</f>
        <v>461.59289801915622</v>
      </c>
      <c r="O23" s="157">
        <f>O20*10^3/O$22</f>
        <v>475.44068495973085</v>
      </c>
      <c r="P23" s="87"/>
    </row>
    <row r="24" spans="1:16" x14ac:dyDescent="0.25">
      <c r="A24" s="87"/>
      <c r="B24" s="153" t="s">
        <v>157</v>
      </c>
      <c r="C24" s="154" t="s">
        <v>108</v>
      </c>
      <c r="D24" s="154"/>
      <c r="E24" s="124"/>
      <c r="F24" s="156">
        <f>F21*(1+2%)*10^3/F$22</f>
        <v>0</v>
      </c>
      <c r="G24" s="156">
        <f t="shared" ref="G24:O24" si="0">G21*(1+2%)*10^3/G$22</f>
        <v>0</v>
      </c>
      <c r="H24" s="156">
        <f t="shared" si="0"/>
        <v>0</v>
      </c>
      <c r="I24" s="156">
        <f t="shared" si="0"/>
        <v>0</v>
      </c>
      <c r="J24" s="156">
        <f t="shared" si="0"/>
        <v>0</v>
      </c>
      <c r="K24" s="156">
        <f t="shared" si="0"/>
        <v>0</v>
      </c>
      <c r="L24" s="156">
        <f t="shared" si="0"/>
        <v>0</v>
      </c>
      <c r="M24" s="156">
        <f t="shared" si="0"/>
        <v>0</v>
      </c>
      <c r="N24" s="156">
        <f t="shared" si="0"/>
        <v>0</v>
      </c>
      <c r="O24" s="157">
        <f t="shared" si="0"/>
        <v>7609.9767481862145</v>
      </c>
      <c r="P24" s="87"/>
    </row>
    <row r="25" spans="1:16" x14ac:dyDescent="0.25">
      <c r="A25" s="87"/>
      <c r="B25" s="149" t="s">
        <v>152</v>
      </c>
      <c r="C25" s="150" t="s">
        <v>154</v>
      </c>
      <c r="D25" s="150"/>
      <c r="E25" s="125">
        <v>1</v>
      </c>
      <c r="F25" s="160">
        <f>E25/(1+'① Assumptions'!$C$43)</f>
        <v>0.92165898617511521</v>
      </c>
      <c r="G25" s="160">
        <f>F25/(1+'① Assumptions'!$C$43)</f>
        <v>0.84945528679734128</v>
      </c>
      <c r="H25" s="160">
        <f>G25/(1+'① Assumptions'!$C$43)</f>
        <v>0.78290809843072928</v>
      </c>
      <c r="I25" s="160">
        <f>H25/(1+'① Assumptions'!$C$43)</f>
        <v>0.72157428426795323</v>
      </c>
      <c r="J25" s="160">
        <f>I25/(1+'① Assumptions'!$C$43)</f>
        <v>0.66504542328843619</v>
      </c>
      <c r="K25" s="160">
        <f>J25/(1+'① Assumptions'!$C$43)</f>
        <v>0.6129450905884205</v>
      </c>
      <c r="L25" s="160">
        <f>K25/(1+'① Assumptions'!$C$43)</f>
        <v>0.56492635077273778</v>
      </c>
      <c r="M25" s="160">
        <f>L25/(1+'① Assumptions'!$C$43)</f>
        <v>0.52066944771680901</v>
      </c>
      <c r="N25" s="160">
        <f>M25/(1+'① Assumptions'!$C$43)</f>
        <v>0.47987967531503134</v>
      </c>
      <c r="O25" s="161">
        <f>N25/(1+'① Assumptions'!$C$43)</f>
        <v>0.44228541503689528</v>
      </c>
      <c r="P25" s="87"/>
    </row>
    <row r="26" spans="1:16" x14ac:dyDescent="0.25">
      <c r="A26" s="87"/>
      <c r="B26" s="153" t="s">
        <v>158</v>
      </c>
      <c r="C26" s="154" t="s">
        <v>82</v>
      </c>
      <c r="D26" s="155">
        <f>SUM(F26:O26)</f>
        <v>2572.3610614757931</v>
      </c>
      <c r="E26" s="123"/>
      <c r="F26" s="156">
        <f>F$25*F23</f>
        <v>288.36687461650951</v>
      </c>
      <c r="G26" s="156">
        <f>G$25*G23</f>
        <v>284.38023579692646</v>
      </c>
      <c r="H26" s="156">
        <f>H$25*H23</f>
        <v>280.44871179973387</v>
      </c>
      <c r="I26" s="156">
        <f>I$25*I23</f>
        <v>276.57154066886199</v>
      </c>
      <c r="J26" s="156">
        <f>J$25*J23</f>
        <v>272.74797098219574</v>
      </c>
      <c r="K26" s="156">
        <f>K$25*K23</f>
        <v>258.92203696927339</v>
      </c>
      <c r="L26" s="156">
        <f>L$25*L23</f>
        <v>245.79695675424114</v>
      </c>
      <c r="M26" s="156">
        <f>M$25*M23</f>
        <v>233.33720318605378</v>
      </c>
      <c r="N26" s="156">
        <f>N$25*N23</f>
        <v>221.50905002915707</v>
      </c>
      <c r="O26" s="157">
        <f>O$25*O23</f>
        <v>210.28048067284033</v>
      </c>
      <c r="P26" s="87"/>
    </row>
    <row r="27" spans="1:16" x14ac:dyDescent="0.25">
      <c r="A27" s="87"/>
      <c r="B27" s="153" t="s">
        <v>159</v>
      </c>
      <c r="C27" s="154" t="s">
        <v>82</v>
      </c>
      <c r="D27" s="155">
        <f>SUM(F27:O27)</f>
        <v>3365.7817244926628</v>
      </c>
      <c r="E27" s="123"/>
      <c r="F27" s="156">
        <f>F$25*F24</f>
        <v>0</v>
      </c>
      <c r="G27" s="156">
        <f>G$25*G24</f>
        <v>0</v>
      </c>
      <c r="H27" s="156">
        <f>H$25*H24</f>
        <v>0</v>
      </c>
      <c r="I27" s="156">
        <f>I$25*I24</f>
        <v>0</v>
      </c>
      <c r="J27" s="156">
        <f>J$25*J24</f>
        <v>0</v>
      </c>
      <c r="K27" s="156">
        <f>K$25*K24</f>
        <v>0</v>
      </c>
      <c r="L27" s="156">
        <f>L$25*L24</f>
        <v>0</v>
      </c>
      <c r="M27" s="156">
        <f>M$25*M24</f>
        <v>0</v>
      </c>
      <c r="N27" s="156">
        <f>N$25*N24</f>
        <v>0</v>
      </c>
      <c r="O27" s="157">
        <f>O$25*O24</f>
        <v>3365.7817244926628</v>
      </c>
      <c r="P27" s="87"/>
    </row>
    <row r="28" spans="1:16" ht="15.75" thickBot="1" x14ac:dyDescent="0.3">
      <c r="A28" s="87"/>
      <c r="B28" s="162" t="s">
        <v>160</v>
      </c>
      <c r="C28" s="105" t="s">
        <v>82</v>
      </c>
      <c r="D28" s="108"/>
      <c r="E28" s="126"/>
      <c r="F28" s="109">
        <f>SUM(F26:F27)</f>
        <v>288.36687461650951</v>
      </c>
      <c r="G28" s="109">
        <f>SUM(G26:G27)</f>
        <v>284.38023579692646</v>
      </c>
      <c r="H28" s="109">
        <f>SUM(H26:H27)</f>
        <v>280.44871179973387</v>
      </c>
      <c r="I28" s="109">
        <f>SUM(I26:I27)</f>
        <v>276.57154066886199</v>
      </c>
      <c r="J28" s="109">
        <f>SUM(J26:J27)</f>
        <v>272.74797098219574</v>
      </c>
      <c r="K28" s="109">
        <f>SUM(K26:K27)</f>
        <v>258.92203696927339</v>
      </c>
      <c r="L28" s="109">
        <f>SUM(L26:L27)</f>
        <v>245.79695675424114</v>
      </c>
      <c r="M28" s="109">
        <f>SUM(M26:M27)</f>
        <v>233.33720318605378</v>
      </c>
      <c r="N28" s="109">
        <f>SUM(N26:N27)</f>
        <v>221.50905002915707</v>
      </c>
      <c r="O28" s="163">
        <f>SUM(O26:O27)</f>
        <v>3576.0622051655032</v>
      </c>
      <c r="P28" s="87"/>
    </row>
    <row r="29" spans="1:16" ht="15.75" thickBot="1" x14ac:dyDescent="0.3">
      <c r="A29" s="87"/>
      <c r="B29" s="164" t="s">
        <v>153</v>
      </c>
      <c r="C29" s="165" t="s">
        <v>82</v>
      </c>
      <c r="D29" s="127">
        <f>D26+D27</f>
        <v>5938.1427859684554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87"/>
    </row>
    <row r="30" spans="1:16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</row>
    <row r="31" spans="1:16" x14ac:dyDescent="0.25">
      <c r="A31">
        <v>2</v>
      </c>
      <c r="B31" s="177" t="s">
        <v>172</v>
      </c>
      <c r="C31" s="131"/>
      <c r="D31" s="131"/>
      <c r="E31" s="141"/>
      <c r="F31" s="131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6" ht="23.25" customHeight="1" x14ac:dyDescent="0.25">
      <c r="B32" s="145"/>
      <c r="C32" s="119"/>
      <c r="D32" s="119"/>
      <c r="E32" s="121" t="s">
        <v>94</v>
      </c>
      <c r="F32" s="119">
        <v>1</v>
      </c>
      <c r="G32" s="119">
        <f>F32+1</f>
        <v>2</v>
      </c>
      <c r="H32" s="119">
        <f>G32+1</f>
        <v>3</v>
      </c>
      <c r="I32" s="119">
        <f>H32+1</f>
        <v>4</v>
      </c>
      <c r="J32" s="119">
        <f>I32+1</f>
        <v>5</v>
      </c>
      <c r="K32" s="119">
        <f>J32+1</f>
        <v>6</v>
      </c>
      <c r="L32" s="119">
        <f>K32+1</f>
        <v>7</v>
      </c>
      <c r="M32" s="119">
        <f>L32+1</f>
        <v>8</v>
      </c>
      <c r="N32" s="119">
        <f>M32+1</f>
        <v>9</v>
      </c>
      <c r="O32" s="146">
        <f>N32+1</f>
        <v>10</v>
      </c>
    </row>
    <row r="33" spans="2:15" ht="20.100000000000001" customHeight="1" x14ac:dyDescent="0.25">
      <c r="B33" s="147"/>
      <c r="C33" s="117"/>
      <c r="D33" s="117" t="s">
        <v>161</v>
      </c>
      <c r="E33" s="122">
        <v>2025</v>
      </c>
      <c r="F33" s="118">
        <f>E33+1</f>
        <v>2026</v>
      </c>
      <c r="G33" s="118">
        <f>F33+1</f>
        <v>2027</v>
      </c>
      <c r="H33" s="118">
        <f>G33+1</f>
        <v>2028</v>
      </c>
      <c r="I33" s="118">
        <f>H33+1</f>
        <v>2029</v>
      </c>
      <c r="J33" s="118">
        <f>I33+1</f>
        <v>2030</v>
      </c>
      <c r="K33" s="118">
        <f>J33+1</f>
        <v>2031</v>
      </c>
      <c r="L33" s="118">
        <f>K33+1</f>
        <v>2032</v>
      </c>
      <c r="M33" s="118">
        <f>L33+1</f>
        <v>2033</v>
      </c>
      <c r="N33" s="118">
        <f>M33+1</f>
        <v>2034</v>
      </c>
      <c r="O33" s="148">
        <f>N33+1</f>
        <v>2035</v>
      </c>
    </row>
    <row r="34" spans="2:15" ht="20.100000000000001" customHeight="1" x14ac:dyDescent="0.25">
      <c r="B34" s="149" t="s">
        <v>149</v>
      </c>
      <c r="C34" s="150" t="s">
        <v>113</v>
      </c>
      <c r="D34" s="150"/>
      <c r="E34" s="123"/>
      <c r="F34" s="151">
        <f>IF(F$17&gt;=6,'① Assumptions'!$C$47,IF(F$17&gt;=2,'① Assumptions'!$C$46,'① Assumptions'!$C$45))</f>
        <v>0.1</v>
      </c>
      <c r="G34" s="151">
        <f>IF(G$17&gt;=6,'① Assumptions'!$C$47,IF(G$17&gt;=2,'① Assumptions'!$C$46,'① Assumptions'!$C$45))</f>
        <v>7.0000000000000007E-2</v>
      </c>
      <c r="H34" s="151">
        <f>IF(H$17&gt;=6,'① Assumptions'!$C$47,IF(H$17&gt;=2,'① Assumptions'!$C$46,'① Assumptions'!$C$45))</f>
        <v>7.0000000000000007E-2</v>
      </c>
      <c r="I34" s="151">
        <f>IF(I$17&gt;=6,'① Assumptions'!$C$47,IF(I$17&gt;=2,'① Assumptions'!$C$46,'① Assumptions'!$C$45))</f>
        <v>7.0000000000000007E-2</v>
      </c>
      <c r="J34" s="151">
        <f>IF(J$17&gt;=6,'① Assumptions'!$C$47,IF(J$17&gt;=2,'① Assumptions'!$C$46,'① Assumptions'!$C$45))</f>
        <v>7.0000000000000007E-2</v>
      </c>
      <c r="K34" s="151">
        <f>IF(K$17&gt;=6,'① Assumptions'!$C$47,IF(K$17&gt;=2,'① Assumptions'!$C$46,'① Assumptions'!$C$45))</f>
        <v>0.03</v>
      </c>
      <c r="L34" s="151">
        <f>IF(L$17&gt;=6,'① Assumptions'!$C$47,IF(L$17&gt;=2,'① Assumptions'!$C$46,'① Assumptions'!$C$45))</f>
        <v>0.03</v>
      </c>
      <c r="M34" s="151">
        <f>IF(M$17&gt;=6,'① Assumptions'!$C$47,IF(M$17&gt;=2,'① Assumptions'!$C$46,'① Assumptions'!$C$45))</f>
        <v>0.03</v>
      </c>
      <c r="N34" s="151">
        <f>IF(N$17&gt;=6,'① Assumptions'!$C$47,IF(N$17&gt;=2,'① Assumptions'!$C$46,'① Assumptions'!$C$45))</f>
        <v>0.03</v>
      </c>
      <c r="O34" s="152">
        <f>IF(O$17&gt;=6,'① Assumptions'!$C$47,IF(O$17&gt;=2,'① Assumptions'!$C$46,'① Assumptions'!$C$45))</f>
        <v>0.03</v>
      </c>
    </row>
    <row r="35" spans="2:15" ht="20.100000000000001" customHeight="1" x14ac:dyDescent="0.25">
      <c r="B35" s="153" t="s">
        <v>148</v>
      </c>
      <c r="C35" s="154" t="s">
        <v>81</v>
      </c>
      <c r="D35" s="155">
        <f>SUM(F35:O35)</f>
        <v>14799707.758990206</v>
      </c>
      <c r="E35" s="124">
        <f>'Results&amp;Guidance'!$F$26</f>
        <v>1041457</v>
      </c>
      <c r="F35" s="156">
        <f>E35*(1+F34)</f>
        <v>1145602.7000000002</v>
      </c>
      <c r="G35" s="156">
        <f>F35*(1+G34)</f>
        <v>1225794.8890000002</v>
      </c>
      <c r="H35" s="156">
        <f>G35*(1+H34)</f>
        <v>1311600.5312300003</v>
      </c>
      <c r="I35" s="156">
        <f>H35*(1+I34)</f>
        <v>1403412.5684161005</v>
      </c>
      <c r="J35" s="156">
        <f>I35*(1+J34)</f>
        <v>1501651.4482052275</v>
      </c>
      <c r="K35" s="156">
        <f>J35*(1+K34)</f>
        <v>1546700.9916513844</v>
      </c>
      <c r="L35" s="156">
        <f>K35*(1+L34)</f>
        <v>1593102.0214009259</v>
      </c>
      <c r="M35" s="156">
        <f>L35*(1+M34)</f>
        <v>1640895.0820429537</v>
      </c>
      <c r="N35" s="156">
        <f>M35*(1+N34)</f>
        <v>1690121.9345042424</v>
      </c>
      <c r="O35" s="157">
        <f>N35*(1+O34)</f>
        <v>1740825.5925393696</v>
      </c>
    </row>
    <row r="36" spans="2:15" ht="20.100000000000001" customHeight="1" x14ac:dyDescent="0.25">
      <c r="B36" s="153" t="s">
        <v>155</v>
      </c>
      <c r="C36" s="154" t="s">
        <v>81</v>
      </c>
      <c r="D36" s="155">
        <f>SUM(F36:O36)</f>
        <v>27317570.836771645</v>
      </c>
      <c r="E36" s="124"/>
      <c r="F36" s="156"/>
      <c r="G36" s="156"/>
      <c r="H36" s="156"/>
      <c r="I36" s="156"/>
      <c r="J36" s="156"/>
      <c r="K36" s="156"/>
      <c r="L36" s="156"/>
      <c r="M36" s="156"/>
      <c r="N36" s="156"/>
      <c r="O36" s="157">
        <f>(O35*(1+'① Assumptions'!$C$44))/('① Assumptions'!C43-'① Assumptions'!C44)</f>
        <v>27317570.836771645</v>
      </c>
    </row>
    <row r="37" spans="2:15" ht="20.100000000000001" customHeight="1" x14ac:dyDescent="0.25">
      <c r="B37" s="149" t="s">
        <v>117</v>
      </c>
      <c r="C37" s="150" t="s">
        <v>150</v>
      </c>
      <c r="D37" s="150"/>
      <c r="E37" s="124">
        <f>'Results&amp;Guidance'!$D$7</f>
        <v>3661499</v>
      </c>
      <c r="F37" s="158">
        <f>'① Assumptions'!$C$40</f>
        <v>3479680.8181818184</v>
      </c>
      <c r="G37" s="158">
        <f>'① Assumptions'!$C$40</f>
        <v>3479680.8181818184</v>
      </c>
      <c r="H37" s="158">
        <f>'① Assumptions'!$C$40</f>
        <v>3479680.8181818184</v>
      </c>
      <c r="I37" s="158">
        <f>'① Assumptions'!$C$40</f>
        <v>3479680.8181818184</v>
      </c>
      <c r="J37" s="158">
        <f>'① Assumptions'!$C$40</f>
        <v>3479680.8181818184</v>
      </c>
      <c r="K37" s="158">
        <f>'① Assumptions'!$C$40</f>
        <v>3479680.8181818184</v>
      </c>
      <c r="L37" s="158">
        <f>'① Assumptions'!$C$40</f>
        <v>3479680.8181818184</v>
      </c>
      <c r="M37" s="158">
        <f>'① Assumptions'!$C$40</f>
        <v>3479680.8181818184</v>
      </c>
      <c r="N37" s="158">
        <f>'① Assumptions'!$C$40</f>
        <v>3479680.8181818184</v>
      </c>
      <c r="O37" s="159">
        <f>'① Assumptions'!$C$40</f>
        <v>3479680.8181818184</v>
      </c>
    </row>
    <row r="38" spans="2:15" ht="20.100000000000001" customHeight="1" x14ac:dyDescent="0.25">
      <c r="B38" s="153" t="s">
        <v>151</v>
      </c>
      <c r="C38" s="154" t="s">
        <v>108</v>
      </c>
      <c r="D38" s="154"/>
      <c r="E38" s="124">
        <f>E35*10^3/E37</f>
        <v>284.43459905355701</v>
      </c>
      <c r="F38" s="156">
        <f>F35*10^3/F$37</f>
        <v>329.22637444620381</v>
      </c>
      <c r="G38" s="156">
        <f>G35*10^3/G$37</f>
        <v>352.27222065743808</v>
      </c>
      <c r="H38" s="156">
        <f>H35*10^3/H$37</f>
        <v>376.93127610345874</v>
      </c>
      <c r="I38" s="156">
        <f>I35*10^3/I$37</f>
        <v>403.31646543070093</v>
      </c>
      <c r="J38" s="156">
        <f>J35*10^3/J$37</f>
        <v>431.54861801085002</v>
      </c>
      <c r="K38" s="156">
        <f>K35*10^3/K$37</f>
        <v>444.49507655117549</v>
      </c>
      <c r="L38" s="156">
        <f>L35*10^3/L$37</f>
        <v>457.82992884771079</v>
      </c>
      <c r="M38" s="156">
        <f>M35*10^3/M$37</f>
        <v>471.56482671314211</v>
      </c>
      <c r="N38" s="156">
        <f>N35*10^3/N$37</f>
        <v>485.71177151453639</v>
      </c>
      <c r="O38" s="157">
        <f>O35*10^3/O$37</f>
        <v>500.28312465997243</v>
      </c>
    </row>
    <row r="39" spans="2:15" ht="20.100000000000001" customHeight="1" x14ac:dyDescent="0.25">
      <c r="B39" s="153" t="s">
        <v>157</v>
      </c>
      <c r="C39" s="154" t="s">
        <v>108</v>
      </c>
      <c r="D39" s="154"/>
      <c r="E39" s="124"/>
      <c r="F39" s="156">
        <f>F36*10^3/F$37</f>
        <v>0</v>
      </c>
      <c r="G39" s="156">
        <f>G36*10^3/G$37</f>
        <v>0</v>
      </c>
      <c r="H39" s="156">
        <f>H36*10^3/H$37</f>
        <v>0</v>
      </c>
      <c r="I39" s="156">
        <f>I36*10^3/I$37</f>
        <v>0</v>
      </c>
      <c r="J39" s="156">
        <f>J36*10^3/J$37</f>
        <v>0</v>
      </c>
      <c r="K39" s="156">
        <f>K36*10^3/K$37</f>
        <v>0</v>
      </c>
      <c r="L39" s="156">
        <f>L36*10^3/L$37</f>
        <v>0</v>
      </c>
      <c r="M39" s="156">
        <f>M36*10^3/M$37</f>
        <v>0</v>
      </c>
      <c r="N39" s="156">
        <f>N36*10^3/N$37</f>
        <v>0</v>
      </c>
      <c r="O39" s="157">
        <f>O36*10^3/O$37</f>
        <v>7850.5967254334137</v>
      </c>
    </row>
    <row r="40" spans="2:15" x14ac:dyDescent="0.25">
      <c r="B40" s="149" t="s">
        <v>152</v>
      </c>
      <c r="C40" s="150" t="s">
        <v>154</v>
      </c>
      <c r="D40" s="150"/>
      <c r="E40" s="125">
        <v>1</v>
      </c>
      <c r="F40" s="160">
        <f>E40/(1+'① Assumptions'!$C$43)</f>
        <v>0.92165898617511521</v>
      </c>
      <c r="G40" s="160">
        <f>F40/(1+'① Assumptions'!$C$43)</f>
        <v>0.84945528679734128</v>
      </c>
      <c r="H40" s="160">
        <f>G40/(1+'① Assumptions'!$C$43)</f>
        <v>0.78290809843072928</v>
      </c>
      <c r="I40" s="160">
        <f>H40/(1+'① Assumptions'!$C$43)</f>
        <v>0.72157428426795323</v>
      </c>
      <c r="J40" s="160">
        <f>I40/(1+'① Assumptions'!$C$43)</f>
        <v>0.66504542328843619</v>
      </c>
      <c r="K40" s="160">
        <f>J40/(1+'① Assumptions'!$C$43)</f>
        <v>0.6129450905884205</v>
      </c>
      <c r="L40" s="160">
        <f>K40/(1+'① Assumptions'!$C$43)</f>
        <v>0.56492635077273778</v>
      </c>
      <c r="M40" s="160">
        <f>L40/(1+'① Assumptions'!$C$43)</f>
        <v>0.52066944771680901</v>
      </c>
      <c r="N40" s="160">
        <f>M40/(1+'① Assumptions'!$C$43)</f>
        <v>0.47987967531503134</v>
      </c>
      <c r="O40" s="161">
        <f>N40/(1+'① Assumptions'!$C$43)</f>
        <v>0.44228541503689528</v>
      </c>
    </row>
    <row r="41" spans="2:15" x14ac:dyDescent="0.25">
      <c r="B41" s="153" t="s">
        <v>158</v>
      </c>
      <c r="C41" s="154" t="s">
        <v>82</v>
      </c>
      <c r="D41" s="155">
        <f>SUM(F41:O41)</f>
        <v>2706.7705190138549</v>
      </c>
      <c r="E41" s="123"/>
      <c r="F41" s="156">
        <f>F$40*F38</f>
        <v>303.43444649419706</v>
      </c>
      <c r="G41" s="156">
        <f>G$40*G38</f>
        <v>299.23950022930035</v>
      </c>
      <c r="H41" s="156">
        <f>H$40*H38</f>
        <v>295.1025486132271</v>
      </c>
      <c r="I41" s="156">
        <f>I$40*I38</f>
        <v>291.02278987663874</v>
      </c>
      <c r="J41" s="156">
        <f>J$40*J38</f>
        <v>286.99943333456542</v>
      </c>
      <c r="K41" s="156">
        <f>K$40*K38</f>
        <v>272.45107496276717</v>
      </c>
      <c r="L41" s="156">
        <f>L$40*L38</f>
        <v>258.64019097847944</v>
      </c>
      <c r="M41" s="156">
        <f>M$40*M38</f>
        <v>245.52939788740446</v>
      </c>
      <c r="N41" s="156">
        <f>N$40*N38</f>
        <v>233.08320721108441</v>
      </c>
      <c r="O41" s="157">
        <f>O$40*O38</f>
        <v>221.26792942619073</v>
      </c>
    </row>
    <row r="42" spans="2:15" x14ac:dyDescent="0.25">
      <c r="B42" s="153" t="s">
        <v>159</v>
      </c>
      <c r="C42" s="154" t="s">
        <v>82</v>
      </c>
      <c r="D42" s="155">
        <f>SUM(F42:O42)</f>
        <v>3472.2044309956082</v>
      </c>
      <c r="E42" s="123"/>
      <c r="F42" s="156">
        <f>F$40*F39</f>
        <v>0</v>
      </c>
      <c r="G42" s="156">
        <f>G$40*G39</f>
        <v>0</v>
      </c>
      <c r="H42" s="156">
        <f>H$40*H39</f>
        <v>0</v>
      </c>
      <c r="I42" s="156">
        <f>I$40*I39</f>
        <v>0</v>
      </c>
      <c r="J42" s="156">
        <f>J$40*J39</f>
        <v>0</v>
      </c>
      <c r="K42" s="156">
        <f>K$40*K39</f>
        <v>0</v>
      </c>
      <c r="L42" s="156">
        <f>L$40*L39</f>
        <v>0</v>
      </c>
      <c r="M42" s="156">
        <f>M$40*M39</f>
        <v>0</v>
      </c>
      <c r="N42" s="156">
        <f>N$40*N39</f>
        <v>0</v>
      </c>
      <c r="O42" s="157">
        <f>O$40*O39</f>
        <v>3472.2044309956082</v>
      </c>
    </row>
    <row r="43" spans="2:15" ht="15.75" thickBot="1" x14ac:dyDescent="0.3">
      <c r="B43" s="162" t="s">
        <v>160</v>
      </c>
      <c r="C43" s="105" t="s">
        <v>82</v>
      </c>
      <c r="D43" s="108"/>
      <c r="E43" s="126"/>
      <c r="F43" s="109">
        <f>SUM(F41:F42)</f>
        <v>303.43444649419706</v>
      </c>
      <c r="G43" s="109">
        <f>SUM(G41:G42)</f>
        <v>299.23950022930035</v>
      </c>
      <c r="H43" s="109">
        <f>SUM(H41:H42)</f>
        <v>295.1025486132271</v>
      </c>
      <c r="I43" s="109">
        <f>SUM(I41:I42)</f>
        <v>291.02278987663874</v>
      </c>
      <c r="J43" s="109">
        <f>SUM(J41:J42)</f>
        <v>286.99943333456542</v>
      </c>
      <c r="K43" s="109">
        <f>SUM(K41:K42)</f>
        <v>272.45107496276717</v>
      </c>
      <c r="L43" s="109">
        <f>SUM(L41:L42)</f>
        <v>258.64019097847944</v>
      </c>
      <c r="M43" s="109">
        <f>SUM(M41:M42)</f>
        <v>245.52939788740446</v>
      </c>
      <c r="N43" s="109">
        <f>SUM(N41:N42)</f>
        <v>233.08320721108441</v>
      </c>
      <c r="O43" s="163">
        <f>SUM(O41:O42)</f>
        <v>3693.4723604217988</v>
      </c>
    </row>
    <row r="44" spans="2:15" ht="15.75" thickBot="1" x14ac:dyDescent="0.3">
      <c r="B44" s="164" t="s">
        <v>153</v>
      </c>
      <c r="C44" s="165" t="s">
        <v>82</v>
      </c>
      <c r="D44" s="127">
        <f>D41+D42</f>
        <v>6178.9749500094631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</row>
  </sheetData>
  <phoneticPr fontId="19"/>
  <conditionalFormatting sqref="C11:D12">
    <cfRule type="cellIs" dxfId="1" priority="4" operator="greaterThan">
      <formula>0</formula>
    </cfRule>
    <cfRule type="cellIs" dxfId="0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Dashboard</vt:lpstr>
      <vt:lpstr>Results&amp;Guidance</vt:lpstr>
      <vt:lpstr>① Assumptions</vt:lpstr>
      <vt:lpstr>② Multiples</vt:lpstr>
      <vt:lpstr>③ DCF</vt:lpstr>
      <vt:lpstr>CurrentPrice</vt:lpstr>
      <vt:lpstr>ForwardPER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2026-05-20T08:00:08Z</dcterms:created>
  <dcterms:modified xsi:type="dcterms:W3CDTF">2026-05-20T10:13:02Z</dcterms:modified>
  <dc:language/>
</cp:coreProperties>
</file>